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RETRIBUCIONES Y DIETAS\TABLAS RETRIBUTIVAS\2024\BORRADORES SUBIDA 0.5% DESDE ENERO 2023 - copia\"/>
    </mc:Choice>
  </mc:AlternateContent>
  <xr:revisionPtr revIDLastSave="0" documentId="13_ncr:1_{C7C4C333-75DF-47D7-B004-7993B5728E63}" xr6:coauthVersionLast="36" xr6:coauthVersionMax="36" xr10:uidLastSave="{00000000-0000-0000-0000-000000000000}"/>
  <bookViews>
    <workbookView xWindow="0" yWindow="0" windowWidth="23040" windowHeight="9060" xr2:uid="{5DBAEECD-9AD8-4D9F-A1E1-3157F960F645}"/>
  </bookViews>
  <sheets>
    <sheet name="2023" sheetId="1" r:id="rId1"/>
    <sheet name="2022" sheetId="3" state="hidden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30" i="1" s="1"/>
  <c r="J17" i="1"/>
  <c r="J21" i="1" s="1"/>
  <c r="Q17" i="1"/>
  <c r="R6" i="1"/>
  <c r="R38" i="1" s="1"/>
  <c r="Q12" i="1"/>
  <c r="Q6" i="1"/>
  <c r="Q29" i="1" s="1"/>
  <c r="J11" i="1"/>
  <c r="J12" i="1"/>
  <c r="J6" i="1"/>
  <c r="J16" i="1" s="1"/>
  <c r="J39" i="1"/>
  <c r="H29" i="1"/>
  <c r="H33" i="1" s="1"/>
  <c r="N33" i="1" s="1"/>
  <c r="G28" i="1"/>
  <c r="F28" i="1"/>
  <c r="F29" i="1" s="1"/>
  <c r="L29" i="1" s="1"/>
  <c r="H18" i="1"/>
  <c r="H20" i="1" s="1"/>
  <c r="N20" i="1" s="1"/>
  <c r="G17" i="1"/>
  <c r="M17" i="1" s="1"/>
  <c r="F17" i="1"/>
  <c r="F20" i="1" s="1"/>
  <c r="L20" i="1" s="1"/>
  <c r="H7" i="1"/>
  <c r="H8" i="1" s="1"/>
  <c r="N8" i="1" s="1"/>
  <c r="G6" i="1"/>
  <c r="G9" i="1" s="1"/>
  <c r="F6" i="1"/>
  <c r="F8" i="1" s="1"/>
  <c r="D6" i="1"/>
  <c r="D28" i="1" s="1"/>
  <c r="H38" i="1"/>
  <c r="G38" i="1"/>
  <c r="H37" i="1"/>
  <c r="G37" i="1"/>
  <c r="O37" i="1" s="1"/>
  <c r="H36" i="1"/>
  <c r="G36" i="1"/>
  <c r="H35" i="1"/>
  <c r="G35" i="1"/>
  <c r="O35" i="1" s="1"/>
  <c r="H28" i="1"/>
  <c r="N28" i="1" s="1"/>
  <c r="H27" i="1"/>
  <c r="G27" i="1"/>
  <c r="O27" i="1" s="1"/>
  <c r="H26" i="1"/>
  <c r="G26" i="1"/>
  <c r="H25" i="1"/>
  <c r="G25" i="1"/>
  <c r="O25" i="1" s="1"/>
  <c r="H24" i="1"/>
  <c r="N24" i="1" s="1"/>
  <c r="G24" i="1"/>
  <c r="H19" i="1"/>
  <c r="N19" i="1" s="1"/>
  <c r="H17" i="1"/>
  <c r="N17" i="1" s="1"/>
  <c r="H16" i="1"/>
  <c r="G16" i="1"/>
  <c r="H15" i="1"/>
  <c r="G15" i="1"/>
  <c r="O15" i="1" s="1"/>
  <c r="H14" i="1"/>
  <c r="G14" i="1"/>
  <c r="H13" i="1"/>
  <c r="N13" i="1" s="1"/>
  <c r="G13" i="1"/>
  <c r="O13" i="1" s="1"/>
  <c r="H6" i="1"/>
  <c r="N6" i="1" s="1"/>
  <c r="Q34" i="1" l="1"/>
  <c r="Q30" i="1"/>
  <c r="F32" i="1"/>
  <c r="L32" i="1" s="1"/>
  <c r="J9" i="1"/>
  <c r="Q11" i="1"/>
  <c r="Q23" i="1"/>
  <c r="O16" i="1"/>
  <c r="F33" i="1"/>
  <c r="L33" i="1" s="1"/>
  <c r="M13" i="1"/>
  <c r="Q38" i="1"/>
  <c r="J7" i="1"/>
  <c r="J8" i="1"/>
  <c r="Q8" i="1"/>
  <c r="Q20" i="1"/>
  <c r="F31" i="1"/>
  <c r="L31" i="1" s="1"/>
  <c r="Q10" i="1"/>
  <c r="R7" i="1"/>
  <c r="R9" i="1"/>
  <c r="Q22" i="1"/>
  <c r="Q18" i="1"/>
  <c r="Q32" i="1"/>
  <c r="R17" i="1"/>
  <c r="R20" i="1"/>
  <c r="R34" i="1"/>
  <c r="R30" i="1"/>
  <c r="J18" i="1"/>
  <c r="J20" i="1"/>
  <c r="J33" i="1"/>
  <c r="O14" i="1"/>
  <c r="O24" i="1"/>
  <c r="O26" i="1"/>
  <c r="F19" i="1"/>
  <c r="L19" i="1" s="1"/>
  <c r="F34" i="1"/>
  <c r="L34" i="1" s="1"/>
  <c r="F30" i="1"/>
  <c r="L30" i="1" s="1"/>
  <c r="J10" i="1"/>
  <c r="Q7" i="1"/>
  <c r="Q9" i="1"/>
  <c r="R12" i="1"/>
  <c r="R8" i="1"/>
  <c r="Q21" i="1"/>
  <c r="Q28" i="1"/>
  <c r="Q31" i="1"/>
  <c r="R23" i="1"/>
  <c r="R19" i="1"/>
  <c r="R33" i="1"/>
  <c r="R29" i="1"/>
  <c r="J23" i="1"/>
  <c r="J19" i="1"/>
  <c r="K19" i="1" s="1"/>
  <c r="J32" i="1"/>
  <c r="K32" i="1" s="1"/>
  <c r="O36" i="1"/>
  <c r="O38" i="1"/>
  <c r="O28" i="1"/>
  <c r="R11" i="1"/>
  <c r="R22" i="1"/>
  <c r="R18" i="1"/>
  <c r="R32" i="1"/>
  <c r="J22" i="1"/>
  <c r="J29" i="1"/>
  <c r="J31" i="1"/>
  <c r="K31" i="1" s="1"/>
  <c r="R10" i="1"/>
  <c r="Q19" i="1"/>
  <c r="Q33" i="1"/>
  <c r="R21" i="1"/>
  <c r="R28" i="1"/>
  <c r="R31" i="1"/>
  <c r="J34" i="1"/>
  <c r="J24" i="1"/>
  <c r="D35" i="1"/>
  <c r="I35" i="1" s="1"/>
  <c r="D38" i="1"/>
  <c r="I38" i="1" s="1"/>
  <c r="I28" i="1"/>
  <c r="D32" i="1"/>
  <c r="I32" i="1" s="1"/>
  <c r="G18" i="1"/>
  <c r="O18" i="1" s="1"/>
  <c r="D31" i="1"/>
  <c r="I31" i="1" s="1"/>
  <c r="G23" i="1"/>
  <c r="M23" i="1" s="1"/>
  <c r="K33" i="1"/>
  <c r="D23" i="1"/>
  <c r="I23" i="1" s="1"/>
  <c r="D29" i="1"/>
  <c r="I29" i="1" s="1"/>
  <c r="G21" i="1"/>
  <c r="M21" i="1" s="1"/>
  <c r="G29" i="1"/>
  <c r="M29" i="1" s="1"/>
  <c r="G22" i="1"/>
  <c r="M22" i="1" s="1"/>
  <c r="D22" i="1"/>
  <c r="I22" i="1" s="1"/>
  <c r="G20" i="1"/>
  <c r="G34" i="1"/>
  <c r="D21" i="1"/>
  <c r="I21" i="1" s="1"/>
  <c r="F18" i="1"/>
  <c r="L18" i="1" s="1"/>
  <c r="G19" i="1"/>
  <c r="G33" i="1"/>
  <c r="M33" i="1" s="1"/>
  <c r="D34" i="1"/>
  <c r="I34" i="1" s="1"/>
  <c r="K29" i="1"/>
  <c r="D33" i="1"/>
  <c r="I33" i="1" s="1"/>
  <c r="D30" i="1"/>
  <c r="I30" i="1" s="1"/>
  <c r="D20" i="1"/>
  <c r="I20" i="1" s="1"/>
  <c r="F23" i="1"/>
  <c r="G32" i="1"/>
  <c r="M32" i="1" s="1"/>
  <c r="D17" i="1"/>
  <c r="D27" i="1" s="1"/>
  <c r="I27" i="1" s="1"/>
  <c r="D19" i="1"/>
  <c r="I19" i="1" s="1"/>
  <c r="F22" i="1"/>
  <c r="L22" i="1" s="1"/>
  <c r="G31" i="1"/>
  <c r="M31" i="1" s="1"/>
  <c r="D18" i="1"/>
  <c r="I18" i="1" s="1"/>
  <c r="F21" i="1"/>
  <c r="L21" i="1" s="1"/>
  <c r="G30" i="1"/>
  <c r="M30" i="1" s="1"/>
  <c r="D11" i="1"/>
  <c r="I11" i="1" s="1"/>
  <c r="H34" i="1"/>
  <c r="F35" i="1"/>
  <c r="L35" i="1" s="1"/>
  <c r="K30" i="1"/>
  <c r="L28" i="1"/>
  <c r="K28" i="1"/>
  <c r="O19" i="1"/>
  <c r="H23" i="1"/>
  <c r="N23" i="1" s="1"/>
  <c r="O20" i="1"/>
  <c r="F27" i="1"/>
  <c r="L27" i="1" s="1"/>
  <c r="O17" i="1"/>
  <c r="K20" i="1"/>
  <c r="K17" i="1"/>
  <c r="L17" i="1"/>
  <c r="D37" i="1"/>
  <c r="I37" i="1" s="1"/>
  <c r="D36" i="1"/>
  <c r="I36" i="1" s="1"/>
  <c r="H10" i="1"/>
  <c r="N10" i="1" s="1"/>
  <c r="H9" i="1"/>
  <c r="N9" i="1" s="1"/>
  <c r="N7" i="1"/>
  <c r="G12" i="1"/>
  <c r="M12" i="1" s="1"/>
  <c r="G10" i="1"/>
  <c r="M10" i="1" s="1"/>
  <c r="G8" i="1"/>
  <c r="O8" i="1" s="1"/>
  <c r="G7" i="1"/>
  <c r="G11" i="1"/>
  <c r="M11" i="1" s="1"/>
  <c r="O6" i="1"/>
  <c r="L8" i="1"/>
  <c r="K8" i="1"/>
  <c r="F12" i="1"/>
  <c r="L12" i="1" s="1"/>
  <c r="F11" i="1"/>
  <c r="L11" i="1" s="1"/>
  <c r="F9" i="1"/>
  <c r="L9" i="1" s="1"/>
  <c r="L6" i="1"/>
  <c r="F7" i="1"/>
  <c r="L7" i="1" s="1"/>
  <c r="F10" i="1"/>
  <c r="L10" i="1" s="1"/>
  <c r="K7" i="1"/>
  <c r="D9" i="1"/>
  <c r="I9" i="1" s="1"/>
  <c r="D10" i="1"/>
  <c r="I10" i="1" s="1"/>
  <c r="D8" i="1"/>
  <c r="I8" i="1" s="1"/>
  <c r="D16" i="1"/>
  <c r="I16" i="1" s="1"/>
  <c r="D7" i="1"/>
  <c r="I7" i="1" s="1"/>
  <c r="D12" i="1"/>
  <c r="I12" i="1" s="1"/>
  <c r="O23" i="1"/>
  <c r="O33" i="1"/>
  <c r="M8" i="1"/>
  <c r="F36" i="1"/>
  <c r="L36" i="1" s="1"/>
  <c r="F37" i="1"/>
  <c r="L37" i="1" s="1"/>
  <c r="F38" i="1"/>
  <c r="L38" i="1" s="1"/>
  <c r="H11" i="1"/>
  <c r="N11" i="1" s="1"/>
  <c r="J25" i="1"/>
  <c r="J26" i="1"/>
  <c r="J27" i="1"/>
  <c r="M9" i="1"/>
  <c r="D13" i="1"/>
  <c r="I13" i="1" s="1"/>
  <c r="Q13" i="1"/>
  <c r="Q14" i="1"/>
  <c r="Q15" i="1"/>
  <c r="Q16" i="1"/>
  <c r="M18" i="1"/>
  <c r="M24" i="1"/>
  <c r="H12" i="1"/>
  <c r="F13" i="1"/>
  <c r="L13" i="1" s="1"/>
  <c r="R13" i="1"/>
  <c r="R14" i="1"/>
  <c r="R15" i="1"/>
  <c r="R16" i="1"/>
  <c r="N18" i="1"/>
  <c r="H21" i="1"/>
  <c r="H30" i="1"/>
  <c r="N30" i="1" s="1"/>
  <c r="J35" i="1"/>
  <c r="I6" i="1"/>
  <c r="D14" i="1"/>
  <c r="I14" i="1" s="1"/>
  <c r="D15" i="1"/>
  <c r="I15" i="1" s="1"/>
  <c r="M19" i="1"/>
  <c r="M28" i="1"/>
  <c r="M34" i="1"/>
  <c r="J36" i="1"/>
  <c r="J37" i="1"/>
  <c r="J38" i="1"/>
  <c r="F14" i="1"/>
  <c r="L14" i="1" s="1"/>
  <c r="F15" i="1"/>
  <c r="L15" i="1" s="1"/>
  <c r="F16" i="1"/>
  <c r="L16" i="1" s="1"/>
  <c r="H22" i="1"/>
  <c r="H31" i="1"/>
  <c r="K6" i="1"/>
  <c r="M20" i="1"/>
  <c r="D24" i="1"/>
  <c r="I24" i="1" s="1"/>
  <c r="Q24" i="1"/>
  <c r="Q25" i="1"/>
  <c r="Q26" i="1"/>
  <c r="Q27" i="1"/>
  <c r="M35" i="1"/>
  <c r="J13" i="1"/>
  <c r="F24" i="1"/>
  <c r="L24" i="1" s="1"/>
  <c r="R24" i="1"/>
  <c r="R25" i="1"/>
  <c r="R26" i="1"/>
  <c r="R27" i="1"/>
  <c r="N29" i="1"/>
  <c r="H32" i="1"/>
  <c r="N32" i="1" s="1"/>
  <c r="M6" i="1"/>
  <c r="D25" i="1"/>
  <c r="I25" i="1" s="1"/>
  <c r="D26" i="1"/>
  <c r="I26" i="1" s="1"/>
  <c r="J14" i="1"/>
  <c r="J15" i="1"/>
  <c r="F25" i="1"/>
  <c r="L25" i="1" s="1"/>
  <c r="F26" i="1"/>
  <c r="L26" i="1" s="1"/>
  <c r="Q35" i="1"/>
  <c r="Q36" i="1"/>
  <c r="Q37" i="1"/>
  <c r="R35" i="1"/>
  <c r="R36" i="1"/>
  <c r="R37" i="1"/>
  <c r="I17" i="1" l="1"/>
  <c r="P17" i="1" s="1"/>
  <c r="K34" i="1"/>
  <c r="P19" i="1"/>
  <c r="P33" i="1"/>
  <c r="P28" i="1"/>
  <c r="K22" i="1"/>
  <c r="K23" i="1"/>
  <c r="L23" i="1"/>
  <c r="K21" i="1"/>
  <c r="O29" i="1"/>
  <c r="P29" i="1" s="1"/>
  <c r="K18" i="1"/>
  <c r="P18" i="1" s="1"/>
  <c r="N34" i="1"/>
  <c r="O34" i="1"/>
  <c r="P34" i="1"/>
  <c r="K35" i="1"/>
  <c r="P35" i="1" s="1"/>
  <c r="K38" i="1"/>
  <c r="P38" i="1" s="1"/>
  <c r="P20" i="1"/>
  <c r="K27" i="1"/>
  <c r="P27" i="1" s="1"/>
  <c r="O9" i="1"/>
  <c r="O10" i="1"/>
  <c r="O7" i="1"/>
  <c r="M7" i="1"/>
  <c r="K16" i="1"/>
  <c r="P16" i="1" s="1"/>
  <c r="P8" i="1"/>
  <c r="K12" i="1"/>
  <c r="K10" i="1"/>
  <c r="K11" i="1"/>
  <c r="K13" i="1"/>
  <c r="P13" i="1" s="1"/>
  <c r="K9" i="1"/>
  <c r="K37" i="1"/>
  <c r="P37" i="1" s="1"/>
  <c r="K36" i="1"/>
  <c r="P36" i="1" s="1"/>
  <c r="K24" i="1"/>
  <c r="P24" i="1" s="1"/>
  <c r="O30" i="1"/>
  <c r="P30" i="1" s="1"/>
  <c r="O11" i="1"/>
  <c r="K26" i="1"/>
  <c r="P26" i="1" s="1"/>
  <c r="O32" i="1"/>
  <c r="P32" i="1" s="1"/>
  <c r="O21" i="1"/>
  <c r="N21" i="1"/>
  <c r="K15" i="1"/>
  <c r="P15" i="1" s="1"/>
  <c r="N31" i="1"/>
  <c r="O31" i="1"/>
  <c r="O12" i="1"/>
  <c r="N12" i="1"/>
  <c r="K25" i="1"/>
  <c r="P25" i="1" s="1"/>
  <c r="K14" i="1"/>
  <c r="P14" i="1" s="1"/>
  <c r="O22" i="1"/>
  <c r="N22" i="1"/>
  <c r="P6" i="1"/>
  <c r="P7" i="1" l="1"/>
  <c r="P23" i="1"/>
  <c r="P22" i="1"/>
  <c r="P21" i="1"/>
  <c r="P10" i="1"/>
  <c r="P9" i="1"/>
  <c r="P11" i="1"/>
  <c r="P12" i="1"/>
  <c r="P31" i="1"/>
</calcChain>
</file>

<file path=xl/sharedStrings.xml><?xml version="1.0" encoding="utf-8"?>
<sst xmlns="http://schemas.openxmlformats.org/spreadsheetml/2006/main" count="181" uniqueCount="48">
  <si>
    <t>FUNCIONARIOS DE CARRERA</t>
  </si>
  <si>
    <t>Nº</t>
  </si>
  <si>
    <t>MENSUAL</t>
  </si>
  <si>
    <t>ANUAL</t>
  </si>
  <si>
    <t>TOTAL</t>
  </si>
  <si>
    <t xml:space="preserve">HORAS </t>
  </si>
  <si>
    <t>EVAL.</t>
  </si>
  <si>
    <t>SUELDO</t>
  </si>
  <si>
    <t>C.</t>
  </si>
  <si>
    <t>DESTINO</t>
  </si>
  <si>
    <t>C. ESPECIFICO</t>
  </si>
  <si>
    <t>**PAGA EX.</t>
  </si>
  <si>
    <t>C.DESTINO</t>
  </si>
  <si>
    <t>C.ESPECIF.</t>
  </si>
  <si>
    <t>Paga adic.</t>
  </si>
  <si>
    <t xml:space="preserve"> </t>
  </si>
  <si>
    <t>TRIENIO</t>
  </si>
  <si>
    <t>Lectivas</t>
  </si>
  <si>
    <t>DOC.</t>
  </si>
  <si>
    <t>NIV.</t>
  </si>
  <si>
    <t>Importe</t>
  </si>
  <si>
    <t>General</t>
  </si>
  <si>
    <t>M. DOC.</t>
  </si>
  <si>
    <t>(12 Pagas)</t>
  </si>
  <si>
    <t>EXTRA</t>
  </si>
  <si>
    <t>(2 Pagas)</t>
  </si>
  <si>
    <t>GENERAL</t>
  </si>
  <si>
    <t>M.DOC.</t>
  </si>
  <si>
    <t>Junio/Dic</t>
  </si>
  <si>
    <t>(MES)</t>
  </si>
  <si>
    <t>(EXTRA)</t>
  </si>
  <si>
    <t>CU</t>
  </si>
  <si>
    <t>TC</t>
  </si>
  <si>
    <t>TP 6 h</t>
  </si>
  <si>
    <t>TP 5 h</t>
  </si>
  <si>
    <t>TP 4 h</t>
  </si>
  <si>
    <t>TP 3 h</t>
  </si>
  <si>
    <t>TU</t>
  </si>
  <si>
    <t>CEU</t>
  </si>
  <si>
    <t>TEU</t>
  </si>
  <si>
    <t xml:space="preserve"> ** Sueldo Extra+Complemento Destino</t>
  </si>
  <si>
    <t>El importe anual de los Fondos adicionales de los años 2018, 2019 y 2020. Acuerdos de la MGNUC de 18/06/2020 y 27/09/2021 para el año 2022 (incrementado 3,5%) es de: 26,48*12=317,76</t>
  </si>
  <si>
    <t>Aplicación del incremento global del 3,5% respecto a las vigentes a 31 de diciembre de 2021 previsto en el art.23 del Real Decreto-ley 18/2022, de 18 de octubre (BOE de 19 de octubre)</t>
  </si>
  <si>
    <r>
      <rPr>
        <b/>
        <sz val="14"/>
        <rFont val="Calibri"/>
        <family val="2"/>
        <scheme val="minor"/>
      </rPr>
      <t>RETRIBUCIONES DEL PROFESORADO UNIVERSITARIO AÑO 2022</t>
    </r>
    <r>
      <rPr>
        <sz val="8"/>
        <rFont val="Calibri"/>
        <family val="2"/>
        <scheme val="minor"/>
      </rPr>
      <t xml:space="preserve">
</t>
    </r>
  </si>
  <si>
    <t xml:space="preserve">Alto Cargo Compl. Destino </t>
  </si>
  <si>
    <t>Alto Cargo Compl. Destino</t>
  </si>
  <si>
    <t>El importe mensual de los Fondos adicionales de los años 2018, 2019 y 2020. Acuerdos de la MGNUC de 18/06/2020 y 27/09/2021 para el año 2023 (incrementado 3,5%) es de 27,40€ mensuales (27,40*12=328,80)</t>
  </si>
  <si>
    <r>
      <rPr>
        <b/>
        <sz val="14"/>
        <rFont val="Calibri"/>
        <family val="2"/>
        <scheme val="minor"/>
      </rPr>
      <t xml:space="preserve">RETRIBUCIONES DEL PROFESORADO UNIVERSITARIO AÑO 2023
</t>
    </r>
    <r>
      <rPr>
        <sz val="8"/>
        <rFont val="Calibri"/>
        <family val="2"/>
        <scheme val="minor"/>
      </rPr>
      <t>Incremento del 2,5% recogido en la Ley 31/2022, de 23 de diciembre, de Presupuestos Generales del Estado para el año 2023 (BOE de 24 de diciembre)+0,5%  IPCA</t>
    </r>
    <r>
      <rPr>
        <b/>
        <sz val="8"/>
        <rFont val="Calibri"/>
        <family val="2"/>
        <scheme val="minor"/>
      </rPr>
      <t>+0,5% PIB con efectos enero 2023</t>
    </r>
    <r>
      <rPr>
        <sz val="8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</si>
</sst>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;;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rgb="FFFF0000"/>
      <name val="Arial"/>
      <family val="2"/>
    </font>
    <font>
      <sz val="10"/>
      <name val="Calibri"/>
      <family val="2"/>
    </font>
    <font>
      <b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3" fontId="1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center"/>
    </xf>
    <xf numFmtId="4" fontId="7" fillId="0" borderId="9" xfId="0" applyNumberFormat="1" applyFont="1" applyBorder="1"/>
    <xf numFmtId="4" fontId="7" fillId="0" borderId="10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4" fontId="4" fillId="0" borderId="9" xfId="0" applyNumberFormat="1" applyFont="1" applyBorder="1"/>
    <xf numFmtId="4" fontId="4" fillId="0" borderId="9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9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3" fontId="9" fillId="0" borderId="28" xfId="0" applyNumberFormat="1" applyFont="1" applyBorder="1"/>
    <xf numFmtId="3" fontId="7" fillId="0" borderId="29" xfId="0" applyNumberFormat="1" applyFont="1" applyBorder="1"/>
    <xf numFmtId="3" fontId="1" fillId="0" borderId="30" xfId="0" applyNumberFormat="1" applyFont="1" applyBorder="1"/>
    <xf numFmtId="4" fontId="1" fillId="0" borderId="31" xfId="0" applyNumberFormat="1" applyFont="1" applyBorder="1" applyProtection="1">
      <protection hidden="1"/>
    </xf>
    <xf numFmtId="3" fontId="1" fillId="0" borderId="32" xfId="0" applyNumberFormat="1" applyFont="1" applyBorder="1"/>
    <xf numFmtId="4" fontId="1" fillId="0" borderId="33" xfId="0" applyNumberFormat="1" applyFont="1" applyBorder="1" applyProtection="1">
      <protection hidden="1"/>
    </xf>
    <xf numFmtId="4" fontId="1" fillId="0" borderId="34" xfId="0" applyNumberFormat="1" applyFont="1" applyBorder="1" applyProtection="1">
      <protection hidden="1"/>
    </xf>
    <xf numFmtId="4" fontId="1" fillId="0" borderId="35" xfId="0" applyNumberFormat="1" applyFont="1" applyBorder="1" applyProtection="1">
      <protection hidden="1"/>
    </xf>
    <xf numFmtId="4" fontId="1" fillId="0" borderId="36" xfId="0" applyNumberFormat="1" applyFont="1" applyBorder="1" applyProtection="1">
      <protection hidden="1"/>
    </xf>
    <xf numFmtId="4" fontId="1" fillId="0" borderId="37" xfId="0" applyNumberFormat="1" applyFont="1" applyBorder="1" applyProtection="1">
      <protection hidden="1"/>
    </xf>
    <xf numFmtId="4" fontId="1" fillId="0" borderId="38" xfId="0" applyNumberFormat="1" applyFont="1" applyBorder="1" applyProtection="1">
      <protection hidden="1"/>
    </xf>
    <xf numFmtId="4" fontId="1" fillId="0" borderId="11" xfId="0" applyNumberFormat="1" applyFont="1" applyBorder="1" applyProtection="1">
      <protection hidden="1"/>
    </xf>
    <xf numFmtId="4" fontId="1" fillId="0" borderId="39" xfId="0" applyNumberFormat="1" applyFont="1" applyBorder="1" applyProtection="1">
      <protection hidden="1"/>
    </xf>
    <xf numFmtId="4" fontId="1" fillId="0" borderId="40" xfId="0" applyNumberFormat="1" applyFont="1" applyBorder="1" applyProtection="1">
      <protection hidden="1"/>
    </xf>
    <xf numFmtId="3" fontId="7" fillId="0" borderId="41" xfId="0" applyNumberFormat="1" applyFont="1" applyBorder="1"/>
    <xf numFmtId="3" fontId="1" fillId="0" borderId="42" xfId="0" applyNumberFormat="1" applyFont="1" applyBorder="1"/>
    <xf numFmtId="3" fontId="1" fillId="0" borderId="43" xfId="0" applyNumberFormat="1" applyFont="1" applyBorder="1"/>
    <xf numFmtId="4" fontId="1" fillId="0" borderId="44" xfId="0" applyNumberFormat="1" applyFont="1" applyBorder="1" applyProtection="1">
      <protection hidden="1"/>
    </xf>
    <xf numFmtId="4" fontId="1" fillId="0" borderId="45" xfId="0" applyNumberFormat="1" applyFont="1" applyBorder="1" applyProtection="1">
      <protection hidden="1"/>
    </xf>
    <xf numFmtId="4" fontId="1" fillId="0" borderId="46" xfId="0" applyNumberFormat="1" applyFont="1" applyBorder="1" applyProtection="1">
      <protection hidden="1"/>
    </xf>
    <xf numFmtId="4" fontId="1" fillId="0" borderId="43" xfId="0" applyNumberFormat="1" applyFont="1" applyBorder="1" applyProtection="1">
      <protection hidden="1"/>
    </xf>
    <xf numFmtId="4" fontId="1" fillId="0" borderId="42" xfId="0" applyNumberFormat="1" applyFont="1" applyBorder="1" applyProtection="1">
      <protection hidden="1"/>
    </xf>
    <xf numFmtId="4" fontId="1" fillId="0" borderId="47" xfId="0" applyNumberFormat="1" applyFont="1" applyBorder="1" applyProtection="1">
      <protection hidden="1"/>
    </xf>
    <xf numFmtId="4" fontId="1" fillId="0" borderId="48" xfId="0" applyNumberFormat="1" applyFont="1" applyBorder="1" applyProtection="1">
      <protection hidden="1"/>
    </xf>
    <xf numFmtId="4" fontId="1" fillId="0" borderId="49" xfId="0" applyNumberFormat="1" applyFont="1" applyBorder="1" applyProtection="1">
      <protection hidden="1"/>
    </xf>
    <xf numFmtId="4" fontId="1" fillId="0" borderId="50" xfId="0" applyNumberFormat="1" applyFont="1" applyBorder="1" applyProtection="1">
      <protection hidden="1"/>
    </xf>
    <xf numFmtId="4" fontId="1" fillId="0" borderId="51" xfId="0" applyNumberFormat="1" applyFont="1" applyBorder="1" applyProtection="1">
      <protection hidden="1"/>
    </xf>
    <xf numFmtId="4" fontId="1" fillId="0" borderId="52" xfId="0" applyNumberFormat="1" applyFont="1" applyBorder="1" applyProtection="1">
      <protection hidden="1"/>
    </xf>
    <xf numFmtId="4" fontId="1" fillId="0" borderId="53" xfId="0" applyNumberFormat="1" applyFont="1" applyBorder="1" applyProtection="1">
      <protection hidden="1"/>
    </xf>
    <xf numFmtId="3" fontId="7" fillId="0" borderId="54" xfId="0" applyNumberFormat="1" applyFont="1" applyBorder="1"/>
    <xf numFmtId="3" fontId="1" fillId="0" borderId="55" xfId="0" applyNumberFormat="1" applyFont="1" applyBorder="1"/>
    <xf numFmtId="3" fontId="1" fillId="0" borderId="56" xfId="0" applyNumberFormat="1" applyFont="1" applyBorder="1"/>
    <xf numFmtId="4" fontId="1" fillId="0" borderId="56" xfId="0" applyNumberFormat="1" applyFont="1" applyBorder="1" applyProtection="1">
      <protection hidden="1"/>
    </xf>
    <xf numFmtId="4" fontId="1" fillId="0" borderId="57" xfId="0" applyNumberFormat="1" applyFont="1" applyBorder="1" applyProtection="1">
      <protection hidden="1"/>
    </xf>
    <xf numFmtId="4" fontId="1" fillId="0" borderId="58" xfId="0" applyNumberFormat="1" applyFont="1" applyBorder="1" applyProtection="1">
      <protection hidden="1"/>
    </xf>
    <xf numFmtId="3" fontId="1" fillId="0" borderId="59" xfId="0" applyNumberFormat="1" applyFont="1" applyBorder="1"/>
    <xf numFmtId="4" fontId="1" fillId="0" borderId="41" xfId="0" applyNumberFormat="1" applyFont="1" applyBorder="1" applyProtection="1">
      <protection hidden="1"/>
    </xf>
    <xf numFmtId="4" fontId="1" fillId="0" borderId="0" xfId="0" applyNumberFormat="1" applyFont="1" applyBorder="1" applyProtection="1">
      <protection hidden="1"/>
    </xf>
    <xf numFmtId="4" fontId="1" fillId="0" borderId="20" xfId="0" applyNumberFormat="1" applyFont="1" applyBorder="1" applyProtection="1">
      <protection hidden="1"/>
    </xf>
    <xf numFmtId="4" fontId="1" fillId="0" borderId="21" xfId="0" applyNumberFormat="1" applyFont="1" applyBorder="1" applyProtection="1">
      <protection hidden="1"/>
    </xf>
    <xf numFmtId="4" fontId="1" fillId="0" borderId="56" xfId="0" applyNumberFormat="1" applyFont="1" applyBorder="1"/>
    <xf numFmtId="3" fontId="7" fillId="0" borderId="60" xfId="0" applyNumberFormat="1" applyFont="1" applyBorder="1"/>
    <xf numFmtId="3" fontId="1" fillId="0" borderId="61" xfId="0" applyNumberFormat="1" applyFont="1" applyBorder="1"/>
    <xf numFmtId="4" fontId="1" fillId="0" borderId="62" xfId="0" applyNumberFormat="1" applyFont="1" applyBorder="1" applyProtection="1">
      <protection hidden="1"/>
    </xf>
    <xf numFmtId="3" fontId="1" fillId="0" borderId="63" xfId="0" applyNumberFormat="1" applyFont="1" applyBorder="1"/>
    <xf numFmtId="4" fontId="1" fillId="0" borderId="63" xfId="0" applyNumberFormat="1" applyFont="1" applyBorder="1" applyProtection="1">
      <protection hidden="1"/>
    </xf>
    <xf numFmtId="4" fontId="1" fillId="0" borderId="64" xfId="0" applyNumberFormat="1" applyFont="1" applyBorder="1" applyProtection="1">
      <protection hidden="1"/>
    </xf>
    <xf numFmtId="4" fontId="1" fillId="0" borderId="60" xfId="0" applyNumberFormat="1" applyFont="1" applyBorder="1" applyProtection="1">
      <protection hidden="1"/>
    </xf>
    <xf numFmtId="4" fontId="1" fillId="0" borderId="65" xfId="0" applyNumberFormat="1" applyFont="1" applyBorder="1" applyProtection="1">
      <protection hidden="1"/>
    </xf>
    <xf numFmtId="4" fontId="1" fillId="0" borderId="66" xfId="0" applyNumberFormat="1" applyFont="1" applyBorder="1" applyProtection="1">
      <protection hidden="1"/>
    </xf>
    <xf numFmtId="4" fontId="1" fillId="0" borderId="67" xfId="0" applyNumberFormat="1" applyFont="1" applyBorder="1"/>
    <xf numFmtId="4" fontId="1" fillId="0" borderId="26" xfId="0" applyNumberFormat="1" applyFont="1" applyBorder="1" applyProtection="1">
      <protection hidden="1"/>
    </xf>
    <xf numFmtId="4" fontId="1" fillId="0" borderId="68" xfId="0" applyNumberFormat="1" applyFont="1" applyBorder="1" applyProtection="1">
      <protection hidden="1"/>
    </xf>
    <xf numFmtId="3" fontId="9" fillId="0" borderId="1" xfId="0" applyNumberFormat="1" applyFont="1" applyBorder="1"/>
    <xf numFmtId="4" fontId="1" fillId="0" borderId="55" xfId="0" applyNumberFormat="1" applyFont="1" applyBorder="1" applyProtection="1">
      <protection hidden="1"/>
    </xf>
    <xf numFmtId="4" fontId="1" fillId="0" borderId="69" xfId="0" applyNumberFormat="1" applyFont="1" applyBorder="1" applyProtection="1">
      <protection hidden="1"/>
    </xf>
    <xf numFmtId="4" fontId="1" fillId="0" borderId="54" xfId="0" applyNumberFormat="1" applyFont="1" applyBorder="1" applyProtection="1">
      <protection hidden="1"/>
    </xf>
    <xf numFmtId="4" fontId="1" fillId="0" borderId="61" xfId="0" applyNumberFormat="1" applyFont="1" applyBorder="1" applyProtection="1">
      <protection hidden="1"/>
    </xf>
    <xf numFmtId="3" fontId="1" fillId="0" borderId="70" xfId="0" applyNumberFormat="1" applyFont="1" applyBorder="1"/>
    <xf numFmtId="4" fontId="1" fillId="0" borderId="30" xfId="0" applyNumberFormat="1" applyFont="1" applyBorder="1" applyProtection="1">
      <protection hidden="1"/>
    </xf>
    <xf numFmtId="4" fontId="1" fillId="0" borderId="50" xfId="0" applyNumberFormat="1" applyFont="1" applyBorder="1"/>
    <xf numFmtId="4" fontId="1" fillId="0" borderId="43" xfId="0" applyNumberFormat="1" applyFont="1" applyBorder="1"/>
    <xf numFmtId="4" fontId="1" fillId="0" borderId="34" xfId="0" applyNumberFormat="1" applyFont="1" applyBorder="1"/>
    <xf numFmtId="3" fontId="1" fillId="0" borderId="0" xfId="0" applyNumberFormat="1" applyFont="1" applyBorder="1"/>
    <xf numFmtId="3" fontId="1" fillId="0" borderId="4" xfId="0" applyNumberFormat="1" applyFont="1" applyBorder="1"/>
    <xf numFmtId="4" fontId="1" fillId="0" borderId="63" xfId="0" applyNumberFormat="1" applyFont="1" applyBorder="1"/>
    <xf numFmtId="0" fontId="10" fillId="0" borderId="0" xfId="0" applyFont="1"/>
    <xf numFmtId="0" fontId="11" fillId="0" borderId="0" xfId="0" applyFont="1"/>
    <xf numFmtId="0" fontId="12" fillId="0" borderId="0" xfId="0" applyFont="1"/>
    <xf numFmtId="3" fontId="7" fillId="0" borderId="0" xfId="0" applyNumberFormat="1" applyFont="1" applyFill="1" applyBorder="1"/>
    <xf numFmtId="164" fontId="1" fillId="0" borderId="0" xfId="0" applyNumberFormat="1" applyFont="1"/>
    <xf numFmtId="4" fontId="1" fillId="0" borderId="71" xfId="0" applyNumberFormat="1" applyFont="1" applyBorder="1" applyProtection="1">
      <protection hidden="1"/>
    </xf>
    <xf numFmtId="4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/>
    </xf>
    <xf numFmtId="4" fontId="4" fillId="0" borderId="37" xfId="0" applyNumberFormat="1" applyFont="1" applyBorder="1" applyAlignment="1" applyProtection="1">
      <alignment horizontal="left"/>
      <protection hidden="1"/>
    </xf>
    <xf numFmtId="165" fontId="13" fillId="0" borderId="0" xfId="0" applyNumberFormat="1" applyFont="1" applyProtection="1">
      <protection hidden="1"/>
    </xf>
    <xf numFmtId="3" fontId="14" fillId="0" borderId="0" xfId="0" applyNumberFormat="1" applyFont="1" applyFill="1" applyBorder="1"/>
    <xf numFmtId="4" fontId="1" fillId="0" borderId="72" xfId="0" applyNumberFormat="1" applyFont="1" applyBorder="1" applyProtection="1">
      <protection hidden="1"/>
    </xf>
    <xf numFmtId="4" fontId="1" fillId="0" borderId="29" xfId="0" applyNumberFormat="1" applyFont="1" applyBorder="1" applyProtection="1">
      <protection hidden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RETRIBUCIONES%20Y%20DIETAS/TABLAS%20RETRIBUTIVAS/2024/BORRADORES%20SUBIDA%202%25%20ENERO/P.DOCENTE%20FUNCIONA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4 +2%"/>
      <sheetName val="2023 +0,5%"/>
      <sheetName val="2023"/>
      <sheetName val="2022"/>
    </sheetNames>
    <sheetDataSet>
      <sheetData sheetId="0" refreshError="1"/>
      <sheetData sheetId="1">
        <row r="6">
          <cell r="D6">
            <v>1294.5999999999999</v>
          </cell>
        </row>
      </sheetData>
      <sheetData sheetId="2">
        <row r="6">
          <cell r="H6">
            <v>0</v>
          </cell>
        </row>
        <row r="17">
          <cell r="H17">
            <v>0</v>
          </cell>
        </row>
        <row r="28">
          <cell r="H28">
            <v>0</v>
          </cell>
        </row>
      </sheetData>
      <sheetData sheetId="3"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0</v>
          </cell>
          <cell r="H20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0</v>
          </cell>
          <cell r="H29">
            <v>0</v>
          </cell>
        </row>
        <row r="30">
          <cell r="G30">
            <v>0</v>
          </cell>
          <cell r="H30">
            <v>0</v>
          </cell>
        </row>
        <row r="31">
          <cell r="G31">
            <v>0</v>
          </cell>
          <cell r="H31">
            <v>0</v>
          </cell>
        </row>
        <row r="39">
          <cell r="G39">
            <v>0</v>
          </cell>
          <cell r="H39">
            <v>0</v>
          </cell>
        </row>
        <row r="40">
          <cell r="G40">
            <v>0</v>
          </cell>
          <cell r="H40">
            <v>0</v>
          </cell>
        </row>
        <row r="41">
          <cell r="G41">
            <v>0</v>
          </cell>
          <cell r="H41">
            <v>0</v>
          </cell>
        </row>
        <row r="42">
          <cell r="G42">
            <v>0</v>
          </cell>
          <cell r="H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2A03E-51EB-42C5-AAE8-918A40A7B3CE}">
  <sheetPr>
    <pageSetUpPr fitToPage="1"/>
  </sheetPr>
  <dimension ref="A1:R41"/>
  <sheetViews>
    <sheetView tabSelected="1" zoomScaleNormal="100" workbookViewId="0">
      <selection activeCell="B1" sqref="B1:R1"/>
    </sheetView>
  </sheetViews>
  <sheetFormatPr baseColWidth="10" defaultRowHeight="14.4" x14ac:dyDescent="0.3"/>
  <cols>
    <col min="1" max="1" width="4.6640625" customWidth="1"/>
    <col min="2" max="2" width="6.6640625" customWidth="1"/>
    <col min="3" max="3" width="5.6640625" customWidth="1"/>
    <col min="4" max="4" width="9.6640625" customWidth="1"/>
    <col min="5" max="5" width="4.6640625" customWidth="1"/>
    <col min="6" max="6" width="10.33203125" customWidth="1"/>
    <col min="7" max="7" width="9.109375" customWidth="1"/>
    <col min="8" max="8" width="8.88671875" customWidth="1"/>
  </cols>
  <sheetData>
    <row r="1" spans="1:18" ht="36.75" customHeight="1" thickBot="1" x14ac:dyDescent="0.35">
      <c r="A1" s="1"/>
      <c r="B1" s="123" t="s">
        <v>47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5"/>
    </row>
    <row r="2" spans="1:18" ht="15" thickBot="1" x14ac:dyDescent="0.35">
      <c r="A2" s="114"/>
      <c r="B2" s="2"/>
      <c r="C2" s="2"/>
      <c r="D2" s="3"/>
      <c r="E2" s="2"/>
      <c r="F2" s="3"/>
      <c r="G2" s="3"/>
      <c r="J2" s="4"/>
      <c r="K2" s="126" t="s">
        <v>0</v>
      </c>
      <c r="L2" s="126"/>
      <c r="M2" s="126"/>
      <c r="N2" s="3"/>
      <c r="O2" s="3"/>
      <c r="P2" s="3"/>
      <c r="Q2" s="3"/>
      <c r="R2" s="119">
        <v>1.0349999999999999</v>
      </c>
    </row>
    <row r="3" spans="1:18" x14ac:dyDescent="0.3">
      <c r="A3" s="1"/>
      <c r="B3" s="5"/>
      <c r="C3" s="6" t="s">
        <v>1</v>
      </c>
      <c r="D3" s="7"/>
      <c r="E3" s="8"/>
      <c r="F3" s="9"/>
      <c r="G3" s="10" t="s">
        <v>2</v>
      </c>
      <c r="H3" s="11"/>
      <c r="I3" s="12"/>
      <c r="J3" s="13"/>
      <c r="K3" s="13"/>
      <c r="L3" s="10" t="s">
        <v>3</v>
      </c>
      <c r="M3" s="14"/>
      <c r="N3" s="15"/>
      <c r="O3" s="15"/>
      <c r="P3" s="16" t="s">
        <v>4</v>
      </c>
      <c r="Q3" s="17"/>
      <c r="R3" s="18"/>
    </row>
    <row r="4" spans="1:18" x14ac:dyDescent="0.3">
      <c r="A4" s="1"/>
      <c r="B4" s="19" t="s">
        <v>5</v>
      </c>
      <c r="C4" s="20" t="s">
        <v>6</v>
      </c>
      <c r="D4" s="21" t="s">
        <v>7</v>
      </c>
      <c r="E4" s="22" t="s">
        <v>8</v>
      </c>
      <c r="F4" s="23" t="s">
        <v>9</v>
      </c>
      <c r="G4" s="127" t="s">
        <v>10</v>
      </c>
      <c r="H4" s="128"/>
      <c r="I4" s="24" t="s">
        <v>7</v>
      </c>
      <c r="J4" s="25" t="s">
        <v>7</v>
      </c>
      <c r="K4" s="26" t="s">
        <v>11</v>
      </c>
      <c r="L4" s="27" t="s">
        <v>12</v>
      </c>
      <c r="M4" s="28" t="s">
        <v>13</v>
      </c>
      <c r="N4" s="29"/>
      <c r="O4" s="30" t="s">
        <v>14</v>
      </c>
      <c r="P4" s="31" t="s">
        <v>15</v>
      </c>
      <c r="Q4" s="21" t="s">
        <v>16</v>
      </c>
      <c r="R4" s="32" t="s">
        <v>16</v>
      </c>
    </row>
    <row r="5" spans="1:18" ht="15" thickBot="1" x14ac:dyDescent="0.35">
      <c r="A5" s="1"/>
      <c r="B5" s="33" t="s">
        <v>17</v>
      </c>
      <c r="C5" s="34" t="s">
        <v>18</v>
      </c>
      <c r="D5" s="35"/>
      <c r="E5" s="34" t="s">
        <v>19</v>
      </c>
      <c r="F5" s="36" t="s">
        <v>20</v>
      </c>
      <c r="G5" s="37" t="s">
        <v>21</v>
      </c>
      <c r="H5" s="38" t="s">
        <v>22</v>
      </c>
      <c r="I5" s="39" t="s">
        <v>23</v>
      </c>
      <c r="J5" s="37" t="s">
        <v>24</v>
      </c>
      <c r="K5" s="37" t="s">
        <v>25</v>
      </c>
      <c r="L5" s="37" t="s">
        <v>23</v>
      </c>
      <c r="M5" s="37" t="s">
        <v>26</v>
      </c>
      <c r="N5" s="37" t="s">
        <v>27</v>
      </c>
      <c r="O5" s="40" t="s">
        <v>28</v>
      </c>
      <c r="P5" s="41"/>
      <c r="Q5" s="42" t="s">
        <v>29</v>
      </c>
      <c r="R5" s="43" t="s">
        <v>30</v>
      </c>
    </row>
    <row r="6" spans="1:18" ht="15" thickBot="1" x14ac:dyDescent="0.35">
      <c r="A6" s="44" t="s">
        <v>31</v>
      </c>
      <c r="B6" s="45" t="s">
        <v>32</v>
      </c>
      <c r="C6" s="46">
        <v>0</v>
      </c>
      <c r="D6" s="47">
        <f>ROUND('2022'!D6*'2023'!$R$2,2)</f>
        <v>1300.8800000000001</v>
      </c>
      <c r="E6" s="48">
        <v>29</v>
      </c>
      <c r="F6" s="121">
        <f>ROUND('2022'!F6*'2023'!$R$2,2)</f>
        <v>1019.23</v>
      </c>
      <c r="G6" s="52">
        <f>ROUND('2022'!G6*'2023'!$R$2,2)</f>
        <v>1149.17</v>
      </c>
      <c r="H6" s="103">
        <f>ROUND('[1]2023'!H6*0.4878/100,2)+'[1]2023'!H6</f>
        <v>0</v>
      </c>
      <c r="I6" s="122">
        <f>D6*12</f>
        <v>15610.560000000001</v>
      </c>
      <c r="J6" s="52">
        <f>ROUND('2022'!J6*'2023'!$R$2,2)</f>
        <v>802.76</v>
      </c>
      <c r="K6" s="52">
        <f t="shared" ref="K6:K38" si="0">(J6+F6)*2</f>
        <v>3643.98</v>
      </c>
      <c r="L6" s="52">
        <f t="shared" ref="L6:N21" si="1">F6*12</f>
        <v>12230.76</v>
      </c>
      <c r="M6" s="53">
        <f t="shared" si="1"/>
        <v>13790.04</v>
      </c>
      <c r="N6" s="53">
        <f t="shared" si="1"/>
        <v>0</v>
      </c>
      <c r="O6" s="54">
        <f t="shared" ref="O6:O38" si="2">(G6+H6)*2</f>
        <v>2298.34</v>
      </c>
      <c r="P6" s="55">
        <f t="shared" ref="P6:P38" si="3">I6+K6+L6+M6+N6+O6</f>
        <v>47573.680000000008</v>
      </c>
      <c r="Q6" s="54">
        <f>ROUND('2022'!Q6*'2023'!$R$2,2)</f>
        <v>50.07</v>
      </c>
      <c r="R6" s="57">
        <f>ROUND('2022'!R6*'2023'!$R$2,2)</f>
        <v>30.91</v>
      </c>
    </row>
    <row r="7" spans="1:18" x14ac:dyDescent="0.3">
      <c r="A7" s="1" t="s">
        <v>15</v>
      </c>
      <c r="B7" s="58" t="s">
        <v>32</v>
      </c>
      <c r="C7" s="59">
        <v>1</v>
      </c>
      <c r="D7" s="47">
        <f>$D$6</f>
        <v>1300.8800000000001</v>
      </c>
      <c r="E7" s="79"/>
      <c r="F7" s="64">
        <f>$F$6</f>
        <v>1019.23</v>
      </c>
      <c r="G7" s="64">
        <f>$G$6</f>
        <v>1149.17</v>
      </c>
      <c r="H7" s="70">
        <f>ROUND('2022'!H7*'2023'!$R$2,2)</f>
        <v>174.27</v>
      </c>
      <c r="I7" s="62">
        <f>D7*12</f>
        <v>15610.560000000001</v>
      </c>
      <c r="J7" s="64">
        <f>$J$6</f>
        <v>802.76</v>
      </c>
      <c r="K7" s="63">
        <f t="shared" si="0"/>
        <v>3643.98</v>
      </c>
      <c r="L7" s="63">
        <f t="shared" si="1"/>
        <v>12230.76</v>
      </c>
      <c r="M7" s="64">
        <f t="shared" si="1"/>
        <v>13790.04</v>
      </c>
      <c r="N7" s="64">
        <f t="shared" si="1"/>
        <v>2091.2400000000002</v>
      </c>
      <c r="O7" s="65">
        <f t="shared" si="2"/>
        <v>2646.88</v>
      </c>
      <c r="P7" s="66">
        <f t="shared" si="3"/>
        <v>50013.46</v>
      </c>
      <c r="Q7" s="67">
        <f>$Q$6</f>
        <v>50.07</v>
      </c>
      <c r="R7" s="68">
        <f>$R$6</f>
        <v>30.91</v>
      </c>
    </row>
    <row r="8" spans="1:18" x14ac:dyDescent="0.3">
      <c r="A8" s="1"/>
      <c r="B8" s="58" t="s">
        <v>32</v>
      </c>
      <c r="C8" s="59">
        <v>2</v>
      </c>
      <c r="D8" s="47">
        <f t="shared" ref="D8:D12" si="4">$D$6</f>
        <v>1300.8800000000001</v>
      </c>
      <c r="E8" s="79"/>
      <c r="F8" s="64">
        <f t="shared" ref="F8:F12" si="5">$F$6</f>
        <v>1019.23</v>
      </c>
      <c r="G8" s="64">
        <f t="shared" ref="G8:G12" si="6">$G$6</f>
        <v>1149.17</v>
      </c>
      <c r="H8" s="65">
        <f>H7*2</f>
        <v>348.54</v>
      </c>
      <c r="I8" s="62">
        <f t="shared" ref="I8:I17" si="7">D8*12</f>
        <v>15610.560000000001</v>
      </c>
      <c r="J8" s="64">
        <f t="shared" ref="J8:J12" si="8">$J$6</f>
        <v>802.76</v>
      </c>
      <c r="K8" s="63">
        <f t="shared" si="0"/>
        <v>3643.98</v>
      </c>
      <c r="L8" s="63">
        <f t="shared" si="1"/>
        <v>12230.76</v>
      </c>
      <c r="M8" s="64">
        <f t="shared" si="1"/>
        <v>13790.04</v>
      </c>
      <c r="N8" s="64">
        <f t="shared" si="1"/>
        <v>4182.4800000000005</v>
      </c>
      <c r="O8" s="65">
        <f t="shared" si="2"/>
        <v>2995.42</v>
      </c>
      <c r="P8" s="66">
        <f t="shared" si="3"/>
        <v>52453.240000000005</v>
      </c>
      <c r="Q8" s="67">
        <f t="shared" ref="Q8:Q12" si="9">$Q$6</f>
        <v>50.07</v>
      </c>
      <c r="R8" s="68">
        <f t="shared" ref="R8:R12" si="10">$R$6</f>
        <v>30.91</v>
      </c>
    </row>
    <row r="9" spans="1:18" x14ac:dyDescent="0.3">
      <c r="A9" s="1"/>
      <c r="B9" s="58" t="s">
        <v>32</v>
      </c>
      <c r="C9" s="59">
        <v>3</v>
      </c>
      <c r="D9" s="47">
        <f t="shared" si="4"/>
        <v>1300.8800000000001</v>
      </c>
      <c r="E9" s="79"/>
      <c r="F9" s="64">
        <f t="shared" si="5"/>
        <v>1019.23</v>
      </c>
      <c r="G9" s="64">
        <f t="shared" si="6"/>
        <v>1149.17</v>
      </c>
      <c r="H9" s="65">
        <f>H7*3</f>
        <v>522.81000000000006</v>
      </c>
      <c r="I9" s="62">
        <f t="shared" si="7"/>
        <v>15610.560000000001</v>
      </c>
      <c r="J9" s="64">
        <f t="shared" si="8"/>
        <v>802.76</v>
      </c>
      <c r="K9" s="63">
        <f t="shared" si="0"/>
        <v>3643.98</v>
      </c>
      <c r="L9" s="63">
        <f t="shared" si="1"/>
        <v>12230.76</v>
      </c>
      <c r="M9" s="64">
        <f t="shared" si="1"/>
        <v>13790.04</v>
      </c>
      <c r="N9" s="64">
        <f t="shared" si="1"/>
        <v>6273.7200000000012</v>
      </c>
      <c r="O9" s="65">
        <f t="shared" si="2"/>
        <v>3343.96</v>
      </c>
      <c r="P9" s="66">
        <f t="shared" si="3"/>
        <v>54893.020000000004</v>
      </c>
      <c r="Q9" s="67">
        <f t="shared" si="9"/>
        <v>50.07</v>
      </c>
      <c r="R9" s="68">
        <f t="shared" si="10"/>
        <v>30.91</v>
      </c>
    </row>
    <row r="10" spans="1:18" x14ac:dyDescent="0.3">
      <c r="A10" s="1"/>
      <c r="B10" s="58" t="s">
        <v>32</v>
      </c>
      <c r="C10" s="59">
        <v>4</v>
      </c>
      <c r="D10" s="47">
        <f t="shared" si="4"/>
        <v>1300.8800000000001</v>
      </c>
      <c r="E10" s="79"/>
      <c r="F10" s="64">
        <f t="shared" si="5"/>
        <v>1019.23</v>
      </c>
      <c r="G10" s="64">
        <f t="shared" si="6"/>
        <v>1149.17</v>
      </c>
      <c r="H10" s="65">
        <f>H7*4</f>
        <v>697.08</v>
      </c>
      <c r="I10" s="62">
        <f t="shared" si="7"/>
        <v>15610.560000000001</v>
      </c>
      <c r="J10" s="64">
        <f t="shared" si="8"/>
        <v>802.76</v>
      </c>
      <c r="K10" s="63">
        <f t="shared" si="0"/>
        <v>3643.98</v>
      </c>
      <c r="L10" s="63">
        <f t="shared" si="1"/>
        <v>12230.76</v>
      </c>
      <c r="M10" s="64">
        <f t="shared" si="1"/>
        <v>13790.04</v>
      </c>
      <c r="N10" s="64">
        <f t="shared" si="1"/>
        <v>8364.9600000000009</v>
      </c>
      <c r="O10" s="65">
        <f t="shared" si="2"/>
        <v>3692.5</v>
      </c>
      <c r="P10" s="66">
        <f t="shared" si="3"/>
        <v>57332.800000000003</v>
      </c>
      <c r="Q10" s="67">
        <f t="shared" si="9"/>
        <v>50.07</v>
      </c>
      <c r="R10" s="68">
        <f t="shared" si="10"/>
        <v>30.91</v>
      </c>
    </row>
    <row r="11" spans="1:18" x14ac:dyDescent="0.3">
      <c r="A11" s="1"/>
      <c r="B11" s="73" t="s">
        <v>32</v>
      </c>
      <c r="C11" s="74">
        <v>5</v>
      </c>
      <c r="D11" s="47">
        <f t="shared" si="4"/>
        <v>1300.8800000000001</v>
      </c>
      <c r="E11" s="48"/>
      <c r="F11" s="64">
        <f t="shared" si="5"/>
        <v>1019.23</v>
      </c>
      <c r="G11" s="64">
        <f t="shared" si="6"/>
        <v>1149.17</v>
      </c>
      <c r="H11" s="65">
        <f>H7*5</f>
        <v>871.35</v>
      </c>
      <c r="I11" s="77">
        <f t="shared" si="7"/>
        <v>15610.560000000001</v>
      </c>
      <c r="J11" s="64">
        <f t="shared" si="8"/>
        <v>802.76</v>
      </c>
      <c r="K11" s="78">
        <f t="shared" si="0"/>
        <v>3643.98</v>
      </c>
      <c r="L11" s="78">
        <f t="shared" si="1"/>
        <v>12230.76</v>
      </c>
      <c r="M11" s="76">
        <f t="shared" si="1"/>
        <v>13790.04</v>
      </c>
      <c r="N11" s="76">
        <f t="shared" si="1"/>
        <v>10456.200000000001</v>
      </c>
      <c r="O11" s="65">
        <f t="shared" si="2"/>
        <v>4041.04</v>
      </c>
      <c r="P11" s="66">
        <f t="shared" si="3"/>
        <v>59772.580000000009</v>
      </c>
      <c r="Q11" s="67">
        <f t="shared" si="9"/>
        <v>50.07</v>
      </c>
      <c r="R11" s="68">
        <f t="shared" si="10"/>
        <v>30.91</v>
      </c>
    </row>
    <row r="12" spans="1:18" x14ac:dyDescent="0.3">
      <c r="A12" s="1"/>
      <c r="B12" s="58" t="s">
        <v>32</v>
      </c>
      <c r="C12" s="79">
        <v>6</v>
      </c>
      <c r="D12" s="47">
        <f t="shared" si="4"/>
        <v>1300.8800000000001</v>
      </c>
      <c r="E12" s="79"/>
      <c r="F12" s="64">
        <f t="shared" si="5"/>
        <v>1019.23</v>
      </c>
      <c r="G12" s="64">
        <f t="shared" si="6"/>
        <v>1149.17</v>
      </c>
      <c r="H12" s="65">
        <f>H7*6</f>
        <v>1045.6200000000001</v>
      </c>
      <c r="I12" s="80">
        <f t="shared" si="7"/>
        <v>15610.560000000001</v>
      </c>
      <c r="J12" s="64">
        <f t="shared" si="8"/>
        <v>802.76</v>
      </c>
      <c r="K12" s="64">
        <f t="shared" si="0"/>
        <v>3643.98</v>
      </c>
      <c r="L12" s="63">
        <f t="shared" si="1"/>
        <v>12230.76</v>
      </c>
      <c r="M12" s="64">
        <f t="shared" si="1"/>
        <v>13790.04</v>
      </c>
      <c r="N12" s="64">
        <f t="shared" si="1"/>
        <v>12547.440000000002</v>
      </c>
      <c r="O12" s="81">
        <f t="shared" si="2"/>
        <v>4389.58</v>
      </c>
      <c r="P12" s="66">
        <f t="shared" si="3"/>
        <v>62212.360000000008</v>
      </c>
      <c r="Q12" s="67">
        <f t="shared" si="9"/>
        <v>50.07</v>
      </c>
      <c r="R12" s="68">
        <f t="shared" si="10"/>
        <v>30.91</v>
      </c>
    </row>
    <row r="13" spans="1:18" x14ac:dyDescent="0.3">
      <c r="A13" s="1" t="s">
        <v>15</v>
      </c>
      <c r="B13" s="58" t="s">
        <v>33</v>
      </c>
      <c r="C13" s="79"/>
      <c r="D13" s="80">
        <f>$D$6*0.0361*12</f>
        <v>563.54121600000008</v>
      </c>
      <c r="E13" s="60"/>
      <c r="F13" s="64">
        <f>($F$6+$G$6)*0.0361*12</f>
        <v>939.35087999999996</v>
      </c>
      <c r="G13" s="64">
        <f>ROUND('[1]2022'!G17*1.025,2)</f>
        <v>0</v>
      </c>
      <c r="H13" s="65">
        <f>ROUND('[1]2022'!H17*1.025,2)</f>
        <v>0</v>
      </c>
      <c r="I13" s="80">
        <f>ROUND((D13)*12,2)</f>
        <v>6762.49</v>
      </c>
      <c r="J13" s="63">
        <f>$J$6*0.0361*12</f>
        <v>347.75563199999999</v>
      </c>
      <c r="K13" s="64">
        <f t="shared" si="0"/>
        <v>2574.2130239999997</v>
      </c>
      <c r="L13" s="63">
        <f t="shared" si="1"/>
        <v>11272.21056</v>
      </c>
      <c r="M13" s="64">
        <f t="shared" si="1"/>
        <v>0</v>
      </c>
      <c r="N13" s="64">
        <f t="shared" si="1"/>
        <v>0</v>
      </c>
      <c r="O13" s="65">
        <f t="shared" si="2"/>
        <v>0</v>
      </c>
      <c r="P13" s="66">
        <f t="shared" si="3"/>
        <v>20608.913583999998</v>
      </c>
      <c r="Q13" s="66">
        <f>Q$6*0.0361*12</f>
        <v>21.690324</v>
      </c>
      <c r="R13" s="66">
        <f>R$6*0.0361*12</f>
        <v>13.390211999999998</v>
      </c>
    </row>
    <row r="14" spans="1:18" x14ac:dyDescent="0.3">
      <c r="A14" s="1" t="s">
        <v>15</v>
      </c>
      <c r="B14" s="73" t="s">
        <v>34</v>
      </c>
      <c r="C14" s="48"/>
      <c r="D14" s="80">
        <f>$D$6*0.0361*10</f>
        <v>469.61768000000006</v>
      </c>
      <c r="E14" s="60"/>
      <c r="F14" s="64">
        <f>($F$6+$G$6)*0.0361*10</f>
        <v>782.79240000000004</v>
      </c>
      <c r="G14" s="64">
        <f>ROUND('[1]2022'!G18*1.025,2)</f>
        <v>0</v>
      </c>
      <c r="H14" s="65">
        <f>ROUND('[1]2022'!H18*1.025,2)</f>
        <v>0</v>
      </c>
      <c r="I14" s="47">
        <f t="shared" ref="I14:I16" si="11">ROUND((D14)*12,2)</f>
        <v>5635.41</v>
      </c>
      <c r="J14" s="63">
        <f>$J$6*0.0361*10</f>
        <v>289.79635999999999</v>
      </c>
      <c r="K14" s="64">
        <f t="shared" si="0"/>
        <v>2145.1775200000002</v>
      </c>
      <c r="L14" s="78">
        <f t="shared" si="1"/>
        <v>9393.5087999999996</v>
      </c>
      <c r="M14" s="84">
        <v>0</v>
      </c>
      <c r="N14" s="84">
        <v>0</v>
      </c>
      <c r="O14" s="65">
        <f t="shared" si="2"/>
        <v>0</v>
      </c>
      <c r="P14" s="66">
        <f t="shared" si="3"/>
        <v>17174.096320000001</v>
      </c>
      <c r="Q14" s="66">
        <f>Q$6*0.0361*10</f>
        <v>18.07527</v>
      </c>
      <c r="R14" s="66">
        <f>R$6*0.0361*10</f>
        <v>11.15851</v>
      </c>
    </row>
    <row r="15" spans="1:18" x14ac:dyDescent="0.3">
      <c r="A15" s="1" t="s">
        <v>15</v>
      </c>
      <c r="B15" s="73" t="s">
        <v>35</v>
      </c>
      <c r="C15" s="48"/>
      <c r="D15" s="80">
        <f>$D$6*0.0361*8</f>
        <v>375.69414400000005</v>
      </c>
      <c r="E15" s="60"/>
      <c r="F15" s="64">
        <f>($F$6+$G$6)*0.0361*8</f>
        <v>626.23392000000001</v>
      </c>
      <c r="G15" s="64">
        <f>ROUND('[1]2022'!G19*1.025,2)</f>
        <v>0</v>
      </c>
      <c r="H15" s="65">
        <f>ROUND('[1]2022'!H19*1.025,2)</f>
        <v>0</v>
      </c>
      <c r="I15" s="80">
        <f t="shared" si="11"/>
        <v>4508.33</v>
      </c>
      <c r="J15" s="63">
        <f>$J$6*0.0361*8</f>
        <v>231.83708799999999</v>
      </c>
      <c r="K15" s="64">
        <f t="shared" si="0"/>
        <v>1716.142016</v>
      </c>
      <c r="L15" s="78">
        <f t="shared" si="1"/>
        <v>7514.8070399999997</v>
      </c>
      <c r="M15" s="84">
        <v>0</v>
      </c>
      <c r="N15" s="84">
        <v>0</v>
      </c>
      <c r="O15" s="65">
        <f t="shared" si="2"/>
        <v>0</v>
      </c>
      <c r="P15" s="66">
        <f t="shared" si="3"/>
        <v>13739.279055999999</v>
      </c>
      <c r="Q15" s="66">
        <f>Q$6*0.0361*8</f>
        <v>14.460216000000001</v>
      </c>
      <c r="R15" s="66">
        <f>R$6*0.0361*8</f>
        <v>8.9268079999999994</v>
      </c>
    </row>
    <row r="16" spans="1:18" ht="15" thickBot="1" x14ac:dyDescent="0.35">
      <c r="A16" s="1" t="s">
        <v>15</v>
      </c>
      <c r="B16" s="85" t="s">
        <v>36</v>
      </c>
      <c r="C16" s="86"/>
      <c r="D16" s="87">
        <f>$D$6*0.0361*6</f>
        <v>281.77060800000004</v>
      </c>
      <c r="E16" s="88"/>
      <c r="F16" s="89">
        <f>($F$6+$G$6)*0.0361*6</f>
        <v>469.67543999999998</v>
      </c>
      <c r="G16" s="89">
        <f>ROUND('[1]2022'!G20*1.025,2)</f>
        <v>0</v>
      </c>
      <c r="H16" s="90">
        <f>ROUND('[1]2022'!H20*1.025,2)</f>
        <v>0</v>
      </c>
      <c r="I16" s="91">
        <f t="shared" si="11"/>
        <v>3381.25</v>
      </c>
      <c r="J16" s="92">
        <f>$J$6*0.0361*6</f>
        <v>173.877816</v>
      </c>
      <c r="K16" s="89">
        <f t="shared" si="0"/>
        <v>1287.1065119999998</v>
      </c>
      <c r="L16" s="93">
        <f t="shared" si="1"/>
        <v>5636.1052799999998</v>
      </c>
      <c r="M16" s="94">
        <v>0</v>
      </c>
      <c r="N16" s="94">
        <v>0</v>
      </c>
      <c r="O16" s="90">
        <f t="shared" si="2"/>
        <v>0</v>
      </c>
      <c r="P16" s="95">
        <f t="shared" si="3"/>
        <v>10304.461792</v>
      </c>
      <c r="Q16" s="96">
        <f>Q$6*0.0361*6</f>
        <v>10.845162</v>
      </c>
      <c r="R16" s="96">
        <f>R$6*0.0361*6</f>
        <v>6.6951059999999991</v>
      </c>
    </row>
    <row r="17" spans="1:18" ht="15" thickBot="1" x14ac:dyDescent="0.35">
      <c r="A17" s="97" t="s">
        <v>37</v>
      </c>
      <c r="B17" s="73" t="s">
        <v>32</v>
      </c>
      <c r="C17" s="74">
        <v>0</v>
      </c>
      <c r="D17" s="47">
        <f>$D$6</f>
        <v>1300.8800000000001</v>
      </c>
      <c r="E17" s="48">
        <v>27</v>
      </c>
      <c r="F17" s="52">
        <f>ROUND('2022'!F17*'2023'!$R$2,2)</f>
        <v>933.5</v>
      </c>
      <c r="G17" s="52">
        <f>ROUND('2022'!G17*'2023'!$R$2,2)</f>
        <v>536.11</v>
      </c>
      <c r="H17" s="115">
        <f>ROUND('[1]2023'!H17*0.4878/100,2)+'[1]2023'!H17</f>
        <v>0</v>
      </c>
      <c r="I17" s="122">
        <f t="shared" si="7"/>
        <v>15610.560000000001</v>
      </c>
      <c r="J17" s="54">
        <f>ROUND('2022'!J17*'2023'!$R$2,2)</f>
        <v>802.76</v>
      </c>
      <c r="K17" s="76">
        <f t="shared" si="0"/>
        <v>3472.52</v>
      </c>
      <c r="L17" s="78">
        <f t="shared" si="1"/>
        <v>11202</v>
      </c>
      <c r="M17" s="76">
        <f t="shared" si="1"/>
        <v>6433.32</v>
      </c>
      <c r="N17" s="76">
        <f t="shared" si="1"/>
        <v>0</v>
      </c>
      <c r="O17" s="81">
        <f t="shared" si="2"/>
        <v>1072.22</v>
      </c>
      <c r="P17" s="82">
        <f t="shared" si="3"/>
        <v>37790.620000000003</v>
      </c>
      <c r="Q17" s="57">
        <f>$Q$6</f>
        <v>50.07</v>
      </c>
      <c r="R17" s="57">
        <f>$R$6</f>
        <v>30.91</v>
      </c>
    </row>
    <row r="18" spans="1:18" ht="15" thickBot="1" x14ac:dyDescent="0.35">
      <c r="A18" s="44" t="s">
        <v>38</v>
      </c>
      <c r="B18" s="58" t="s">
        <v>32</v>
      </c>
      <c r="C18" s="59">
        <v>1</v>
      </c>
      <c r="D18" s="47">
        <f t="shared" ref="D18:D23" si="12">$D$6</f>
        <v>1300.8800000000001</v>
      </c>
      <c r="E18" s="60"/>
      <c r="F18" s="76">
        <f>$F$17</f>
        <v>933.5</v>
      </c>
      <c r="G18" s="76">
        <f>$G$17</f>
        <v>536.11</v>
      </c>
      <c r="H18" s="65">
        <f>ROUND('2022'!H18*'2023'!$R$2,2)</f>
        <v>141.15</v>
      </c>
      <c r="I18" s="63">
        <f>D18*12</f>
        <v>15610.560000000001</v>
      </c>
      <c r="J18" s="64">
        <f>$J$17</f>
        <v>802.76</v>
      </c>
      <c r="K18" s="64">
        <f t="shared" si="0"/>
        <v>3472.52</v>
      </c>
      <c r="L18" s="63">
        <f t="shared" si="1"/>
        <v>11202</v>
      </c>
      <c r="M18" s="64">
        <f t="shared" si="1"/>
        <v>6433.32</v>
      </c>
      <c r="N18" s="64">
        <f t="shared" si="1"/>
        <v>1693.8000000000002</v>
      </c>
      <c r="O18" s="65">
        <f t="shared" si="2"/>
        <v>1354.52</v>
      </c>
      <c r="P18" s="66">
        <f t="shared" si="3"/>
        <v>39766.720000000001</v>
      </c>
      <c r="Q18" s="66">
        <f t="shared" ref="Q18:Q23" si="13">$Q$6</f>
        <v>50.07</v>
      </c>
      <c r="R18" s="66">
        <f t="shared" ref="R18:R23" si="14">$R$6</f>
        <v>30.91</v>
      </c>
    </row>
    <row r="19" spans="1:18" x14ac:dyDescent="0.3">
      <c r="A19" s="1" t="s">
        <v>15</v>
      </c>
      <c r="B19" s="58" t="s">
        <v>32</v>
      </c>
      <c r="C19" s="59">
        <v>2</v>
      </c>
      <c r="D19" s="47">
        <f t="shared" si="12"/>
        <v>1300.8800000000001</v>
      </c>
      <c r="E19" s="60"/>
      <c r="F19" s="76">
        <f t="shared" ref="F19:F23" si="15">$F$17</f>
        <v>933.5</v>
      </c>
      <c r="G19" s="76">
        <f t="shared" ref="G19:G23" si="16">$G$17</f>
        <v>536.11</v>
      </c>
      <c r="H19" s="65">
        <f>H18*2</f>
        <v>282.3</v>
      </c>
      <c r="I19" s="63">
        <f t="shared" ref="I19:I34" si="17">D19*12</f>
        <v>15610.560000000001</v>
      </c>
      <c r="J19" s="64">
        <f t="shared" ref="J19:J23" si="18">$J$17</f>
        <v>802.76</v>
      </c>
      <c r="K19" s="64">
        <f t="shared" si="0"/>
        <v>3472.52</v>
      </c>
      <c r="L19" s="63">
        <f t="shared" si="1"/>
        <v>11202</v>
      </c>
      <c r="M19" s="64">
        <f t="shared" si="1"/>
        <v>6433.32</v>
      </c>
      <c r="N19" s="64">
        <f t="shared" si="1"/>
        <v>3387.6000000000004</v>
      </c>
      <c r="O19" s="65">
        <f t="shared" si="2"/>
        <v>1636.8200000000002</v>
      </c>
      <c r="P19" s="66">
        <f t="shared" si="3"/>
        <v>41742.82</v>
      </c>
      <c r="Q19" s="66">
        <f t="shared" si="13"/>
        <v>50.07</v>
      </c>
      <c r="R19" s="66">
        <f t="shared" si="14"/>
        <v>30.91</v>
      </c>
    </row>
    <row r="20" spans="1:18" x14ac:dyDescent="0.3">
      <c r="A20" s="1" t="s">
        <v>15</v>
      </c>
      <c r="B20" s="58" t="s">
        <v>32</v>
      </c>
      <c r="C20" s="59">
        <v>3</v>
      </c>
      <c r="D20" s="47">
        <f t="shared" si="12"/>
        <v>1300.8800000000001</v>
      </c>
      <c r="E20" s="60"/>
      <c r="F20" s="76">
        <f t="shared" si="15"/>
        <v>933.5</v>
      </c>
      <c r="G20" s="76">
        <f t="shared" si="16"/>
        <v>536.11</v>
      </c>
      <c r="H20" s="65">
        <f>H18*3</f>
        <v>423.45000000000005</v>
      </c>
      <c r="I20" s="63">
        <f t="shared" si="17"/>
        <v>15610.560000000001</v>
      </c>
      <c r="J20" s="64">
        <f t="shared" si="18"/>
        <v>802.76</v>
      </c>
      <c r="K20" s="64">
        <f t="shared" si="0"/>
        <v>3472.52</v>
      </c>
      <c r="L20" s="63">
        <f t="shared" si="1"/>
        <v>11202</v>
      </c>
      <c r="M20" s="64">
        <f t="shared" si="1"/>
        <v>6433.32</v>
      </c>
      <c r="N20" s="64">
        <f t="shared" si="1"/>
        <v>5081.4000000000005</v>
      </c>
      <c r="O20" s="65">
        <f t="shared" si="2"/>
        <v>1919.1200000000001</v>
      </c>
      <c r="P20" s="66">
        <f t="shared" si="3"/>
        <v>43718.920000000006</v>
      </c>
      <c r="Q20" s="66">
        <f t="shared" si="13"/>
        <v>50.07</v>
      </c>
      <c r="R20" s="66">
        <f t="shared" si="14"/>
        <v>30.91</v>
      </c>
    </row>
    <row r="21" spans="1:18" x14ac:dyDescent="0.3">
      <c r="A21" s="1" t="s">
        <v>15</v>
      </c>
      <c r="B21" s="58" t="s">
        <v>32</v>
      </c>
      <c r="C21" s="59">
        <v>4</v>
      </c>
      <c r="D21" s="47">
        <f t="shared" si="12"/>
        <v>1300.8800000000001</v>
      </c>
      <c r="E21" s="60"/>
      <c r="F21" s="76">
        <f t="shared" si="15"/>
        <v>933.5</v>
      </c>
      <c r="G21" s="76">
        <f t="shared" si="16"/>
        <v>536.11</v>
      </c>
      <c r="H21" s="65">
        <f>H18*4</f>
        <v>564.6</v>
      </c>
      <c r="I21" s="63">
        <f t="shared" si="17"/>
        <v>15610.560000000001</v>
      </c>
      <c r="J21" s="64">
        <f t="shared" si="18"/>
        <v>802.76</v>
      </c>
      <c r="K21" s="64">
        <f t="shared" si="0"/>
        <v>3472.52</v>
      </c>
      <c r="L21" s="63">
        <f t="shared" si="1"/>
        <v>11202</v>
      </c>
      <c r="M21" s="64">
        <f t="shared" si="1"/>
        <v>6433.32</v>
      </c>
      <c r="N21" s="64">
        <f t="shared" si="1"/>
        <v>6775.2000000000007</v>
      </c>
      <c r="O21" s="65">
        <f t="shared" si="2"/>
        <v>2201.42</v>
      </c>
      <c r="P21" s="66">
        <f t="shared" si="3"/>
        <v>45695.020000000004</v>
      </c>
      <c r="Q21" s="66">
        <f t="shared" si="13"/>
        <v>50.07</v>
      </c>
      <c r="R21" s="66">
        <f t="shared" si="14"/>
        <v>30.91</v>
      </c>
    </row>
    <row r="22" spans="1:18" x14ac:dyDescent="0.3">
      <c r="A22" s="1" t="s">
        <v>15</v>
      </c>
      <c r="B22" s="58" t="s">
        <v>32</v>
      </c>
      <c r="C22" s="59">
        <v>5</v>
      </c>
      <c r="D22" s="47">
        <f t="shared" si="12"/>
        <v>1300.8800000000001</v>
      </c>
      <c r="E22" s="60"/>
      <c r="F22" s="76">
        <f t="shared" si="15"/>
        <v>933.5</v>
      </c>
      <c r="G22" s="76">
        <f t="shared" si="16"/>
        <v>536.11</v>
      </c>
      <c r="H22" s="65">
        <f>H18*5</f>
        <v>705.75</v>
      </c>
      <c r="I22" s="78">
        <f t="shared" si="17"/>
        <v>15610.560000000001</v>
      </c>
      <c r="J22" s="64">
        <f t="shared" si="18"/>
        <v>802.76</v>
      </c>
      <c r="K22" s="64">
        <f t="shared" si="0"/>
        <v>3472.52</v>
      </c>
      <c r="L22" s="63">
        <f t="shared" ref="L22:N38" si="19">F22*12</f>
        <v>11202</v>
      </c>
      <c r="M22" s="64">
        <f t="shared" si="19"/>
        <v>6433.32</v>
      </c>
      <c r="N22" s="64">
        <f t="shared" si="19"/>
        <v>8469</v>
      </c>
      <c r="O22" s="65">
        <f t="shared" si="2"/>
        <v>2483.7200000000003</v>
      </c>
      <c r="P22" s="66">
        <f t="shared" si="3"/>
        <v>47671.12</v>
      </c>
      <c r="Q22" s="66">
        <f t="shared" si="13"/>
        <v>50.07</v>
      </c>
      <c r="R22" s="66">
        <f t="shared" si="14"/>
        <v>30.91</v>
      </c>
    </row>
    <row r="23" spans="1:18" x14ac:dyDescent="0.3">
      <c r="A23" s="1" t="s">
        <v>15</v>
      </c>
      <c r="B23" s="58" t="s">
        <v>32</v>
      </c>
      <c r="C23" s="79">
        <v>6</v>
      </c>
      <c r="D23" s="47">
        <f t="shared" si="12"/>
        <v>1300.8800000000001</v>
      </c>
      <c r="E23" s="60"/>
      <c r="F23" s="76">
        <f t="shared" si="15"/>
        <v>933.5</v>
      </c>
      <c r="G23" s="76">
        <f t="shared" si="16"/>
        <v>536.11</v>
      </c>
      <c r="H23" s="65">
        <f>H18*6</f>
        <v>846.90000000000009</v>
      </c>
      <c r="I23" s="63">
        <f t="shared" si="17"/>
        <v>15610.560000000001</v>
      </c>
      <c r="J23" s="64">
        <f t="shared" si="18"/>
        <v>802.76</v>
      </c>
      <c r="K23" s="64">
        <f t="shared" si="0"/>
        <v>3472.52</v>
      </c>
      <c r="L23" s="63">
        <f t="shared" si="19"/>
        <v>11202</v>
      </c>
      <c r="M23" s="64">
        <f t="shared" si="19"/>
        <v>6433.32</v>
      </c>
      <c r="N23" s="64">
        <f t="shared" si="19"/>
        <v>10162.800000000001</v>
      </c>
      <c r="O23" s="81">
        <f t="shared" si="2"/>
        <v>2766.0200000000004</v>
      </c>
      <c r="P23" s="66">
        <f t="shared" si="3"/>
        <v>49647.22</v>
      </c>
      <c r="Q23" s="66">
        <f t="shared" si="13"/>
        <v>50.07</v>
      </c>
      <c r="R23" s="66">
        <f t="shared" si="14"/>
        <v>30.91</v>
      </c>
    </row>
    <row r="24" spans="1:18" x14ac:dyDescent="0.3">
      <c r="A24" s="1" t="s">
        <v>15</v>
      </c>
      <c r="B24" s="58" t="s">
        <v>33</v>
      </c>
      <c r="C24" s="79"/>
      <c r="D24" s="80">
        <f>$D$17*0.0361*12</f>
        <v>563.54121600000008</v>
      </c>
      <c r="E24" s="60"/>
      <c r="F24" s="64">
        <f>($F$17+$G$17)*0.0361*12</f>
        <v>636.63505200000009</v>
      </c>
      <c r="G24" s="64">
        <f>ROUND('[1]2022'!G28*1.025,2)</f>
        <v>0</v>
      </c>
      <c r="H24" s="65">
        <f>ROUND('[1]2022'!H28*1.025,2)</f>
        <v>0</v>
      </c>
      <c r="I24" s="80">
        <f>ROUND((D24)*12,2)</f>
        <v>6762.49</v>
      </c>
      <c r="J24" s="63">
        <f>$J$6*0.0361*12</f>
        <v>347.75563199999999</v>
      </c>
      <c r="K24" s="64">
        <f t="shared" si="0"/>
        <v>1968.7813680000002</v>
      </c>
      <c r="L24" s="63">
        <f t="shared" si="19"/>
        <v>7639.620624000001</v>
      </c>
      <c r="M24" s="64">
        <f t="shared" si="19"/>
        <v>0</v>
      </c>
      <c r="N24" s="64">
        <f t="shared" si="19"/>
        <v>0</v>
      </c>
      <c r="O24" s="65">
        <f t="shared" si="2"/>
        <v>0</v>
      </c>
      <c r="P24" s="66">
        <f t="shared" si="3"/>
        <v>16370.891992000001</v>
      </c>
      <c r="Q24" s="66">
        <f>Q$6*0.0361*12</f>
        <v>21.690324</v>
      </c>
      <c r="R24" s="66">
        <f>R$6*0.0361*12</f>
        <v>13.390211999999998</v>
      </c>
    </row>
    <row r="25" spans="1:18" x14ac:dyDescent="0.3">
      <c r="A25" s="1" t="s">
        <v>15</v>
      </c>
      <c r="B25" s="73" t="s">
        <v>34</v>
      </c>
      <c r="C25" s="48"/>
      <c r="D25" s="80">
        <f>$D$17*0.0361*10</f>
        <v>469.61768000000006</v>
      </c>
      <c r="E25" s="60"/>
      <c r="F25" s="64">
        <f>($F$17+$G$17)*0.0361*10</f>
        <v>530.52921000000003</v>
      </c>
      <c r="G25" s="64">
        <f>ROUND('[1]2022'!G29*1.025,2)</f>
        <v>0</v>
      </c>
      <c r="H25" s="65">
        <f>ROUND('[1]2022'!H29*1.025,2)</f>
        <v>0</v>
      </c>
      <c r="I25" s="80">
        <f t="shared" ref="I25:I27" si="20">ROUND((D25)*12,2)</f>
        <v>5635.41</v>
      </c>
      <c r="J25" s="63">
        <f>$J$6*0.0361*10</f>
        <v>289.79635999999999</v>
      </c>
      <c r="K25" s="64">
        <f t="shared" si="0"/>
        <v>1640.6511399999999</v>
      </c>
      <c r="L25" s="78">
        <f t="shared" si="19"/>
        <v>6366.35052</v>
      </c>
      <c r="M25" s="84">
        <v>0</v>
      </c>
      <c r="N25" s="84">
        <v>0</v>
      </c>
      <c r="O25" s="65">
        <f t="shared" si="2"/>
        <v>0</v>
      </c>
      <c r="P25" s="66">
        <f t="shared" si="3"/>
        <v>13642.41166</v>
      </c>
      <c r="Q25" s="66">
        <f>Q$6*0.0361*10</f>
        <v>18.07527</v>
      </c>
      <c r="R25" s="66">
        <f>R$6*0.0361*10</f>
        <v>11.15851</v>
      </c>
    </row>
    <row r="26" spans="1:18" x14ac:dyDescent="0.3">
      <c r="A26" s="1" t="s">
        <v>15</v>
      </c>
      <c r="B26" s="73" t="s">
        <v>35</v>
      </c>
      <c r="C26" s="48"/>
      <c r="D26" s="80">
        <f>$D$17*0.0361*8</f>
        <v>375.69414400000005</v>
      </c>
      <c r="E26" s="60"/>
      <c r="F26" s="64">
        <f>($F$17+$G$17)*0.0361*8</f>
        <v>424.42336800000004</v>
      </c>
      <c r="G26" s="64">
        <f>ROUND('[1]2022'!G30*1.025,2)</f>
        <v>0</v>
      </c>
      <c r="H26" s="65">
        <f>ROUND('[1]2022'!H30*1.025,2)</f>
        <v>0</v>
      </c>
      <c r="I26" s="80">
        <f t="shared" si="20"/>
        <v>4508.33</v>
      </c>
      <c r="J26" s="63">
        <f>$J$6*0.0361*8</f>
        <v>231.83708799999999</v>
      </c>
      <c r="K26" s="64">
        <f t="shared" si="0"/>
        <v>1312.520912</v>
      </c>
      <c r="L26" s="78">
        <f t="shared" si="19"/>
        <v>5093.0804160000007</v>
      </c>
      <c r="M26" s="84">
        <v>0</v>
      </c>
      <c r="N26" s="84">
        <v>0</v>
      </c>
      <c r="O26" s="65">
        <f t="shared" si="2"/>
        <v>0</v>
      </c>
      <c r="P26" s="66">
        <f t="shared" si="3"/>
        <v>10913.931328000001</v>
      </c>
      <c r="Q26" s="66">
        <f>Q$6*0.0361*8</f>
        <v>14.460216000000001</v>
      </c>
      <c r="R26" s="66">
        <f>R$6*0.0361*8</f>
        <v>8.9268079999999994</v>
      </c>
    </row>
    <row r="27" spans="1:18" ht="15" thickBot="1" x14ac:dyDescent="0.35">
      <c r="A27" s="1" t="s">
        <v>15</v>
      </c>
      <c r="B27" s="73" t="s">
        <v>36</v>
      </c>
      <c r="C27" s="48"/>
      <c r="D27" s="87">
        <f>$D$17*0.0361*6</f>
        <v>281.77060800000004</v>
      </c>
      <c r="E27" s="88"/>
      <c r="F27" s="89">
        <f>($F$17+$G$17)*0.0361*6</f>
        <v>318.31752600000004</v>
      </c>
      <c r="G27" s="89">
        <f>ROUND('[1]2022'!G31*1.025,2)</f>
        <v>0</v>
      </c>
      <c r="H27" s="90">
        <f>ROUND('[1]2022'!H31*1.025,2)</f>
        <v>0</v>
      </c>
      <c r="I27" s="87">
        <f t="shared" si="20"/>
        <v>3381.25</v>
      </c>
      <c r="J27" s="92">
        <f>$J$6*0.0361*6</f>
        <v>173.877816</v>
      </c>
      <c r="K27" s="64">
        <f t="shared" si="0"/>
        <v>984.39068400000008</v>
      </c>
      <c r="L27" s="78">
        <f t="shared" si="19"/>
        <v>3819.8103120000005</v>
      </c>
      <c r="M27" s="84">
        <v>0</v>
      </c>
      <c r="N27" s="84">
        <v>0</v>
      </c>
      <c r="O27" s="101">
        <f t="shared" si="2"/>
        <v>0</v>
      </c>
      <c r="P27" s="95">
        <f t="shared" si="3"/>
        <v>8185.4509960000005</v>
      </c>
      <c r="Q27" s="96">
        <f>Q$6*0.0361*6</f>
        <v>10.845162</v>
      </c>
      <c r="R27" s="96">
        <f>R$6*0.0361*6</f>
        <v>6.6951059999999991</v>
      </c>
    </row>
    <row r="28" spans="1:18" ht="15" thickBot="1" x14ac:dyDescent="0.35">
      <c r="A28" s="97" t="s">
        <v>39</v>
      </c>
      <c r="B28" s="45" t="s">
        <v>32</v>
      </c>
      <c r="C28" s="46">
        <v>0</v>
      </c>
      <c r="D28" s="47">
        <f>$D$6</f>
        <v>1300.8800000000001</v>
      </c>
      <c r="E28" s="102">
        <v>26</v>
      </c>
      <c r="F28" s="49">
        <f>ROUND('2022'!F28*'2023'!$R$2,2)</f>
        <v>819</v>
      </c>
      <c r="G28" s="49">
        <f>ROUND('2022'!G28*'2023'!$R$2,2)</f>
        <v>330.99</v>
      </c>
      <c r="H28" s="103">
        <f>ROUND('[1]2023'!H28*0.4878/100,2)+'[1]2023'!H28</f>
        <v>0</v>
      </c>
      <c r="I28" s="122">
        <f t="shared" si="17"/>
        <v>15610.560000000001</v>
      </c>
      <c r="J28" s="52">
        <f>ROUND('2022'!J28*'2023'!$R$2,2)</f>
        <v>802.76</v>
      </c>
      <c r="K28" s="49">
        <f t="shared" si="0"/>
        <v>3243.52</v>
      </c>
      <c r="L28" s="52">
        <f t="shared" si="19"/>
        <v>9828</v>
      </c>
      <c r="M28" s="53">
        <f t="shared" si="19"/>
        <v>3971.88</v>
      </c>
      <c r="N28" s="53">
        <f t="shared" si="19"/>
        <v>0</v>
      </c>
      <c r="O28" s="54">
        <f t="shared" si="2"/>
        <v>661.98</v>
      </c>
      <c r="P28" s="55">
        <f t="shared" si="3"/>
        <v>33315.94</v>
      </c>
      <c r="Q28" s="66">
        <f>$Q$6</f>
        <v>50.07</v>
      </c>
      <c r="R28" s="66">
        <f>$R$6</f>
        <v>30.91</v>
      </c>
    </row>
    <row r="29" spans="1:18" x14ac:dyDescent="0.3">
      <c r="A29" s="1"/>
      <c r="B29" s="58" t="s">
        <v>32</v>
      </c>
      <c r="C29" s="59">
        <v>1</v>
      </c>
      <c r="D29" s="47">
        <f t="shared" ref="D29:D34" si="21">$D$6</f>
        <v>1300.8800000000001</v>
      </c>
      <c r="E29" s="104"/>
      <c r="F29" s="64">
        <f>$F$28</f>
        <v>819</v>
      </c>
      <c r="G29" s="64">
        <f>$G$28</f>
        <v>330.99</v>
      </c>
      <c r="H29" s="65">
        <f>ROUND('2022'!H29*'2023'!$R$2,2)</f>
        <v>119.46</v>
      </c>
      <c r="I29" s="77">
        <f t="shared" si="17"/>
        <v>15610.560000000001</v>
      </c>
      <c r="J29" s="64">
        <f>$J$28</f>
        <v>802.76</v>
      </c>
      <c r="K29" s="63">
        <f t="shared" si="0"/>
        <v>3243.52</v>
      </c>
      <c r="L29" s="63">
        <f t="shared" si="19"/>
        <v>9828</v>
      </c>
      <c r="M29" s="64">
        <f t="shared" si="19"/>
        <v>3971.88</v>
      </c>
      <c r="N29" s="64">
        <f t="shared" si="19"/>
        <v>1433.52</v>
      </c>
      <c r="O29" s="65">
        <f t="shared" si="2"/>
        <v>900.9</v>
      </c>
      <c r="P29" s="66">
        <f t="shared" si="3"/>
        <v>34988.380000000005</v>
      </c>
      <c r="Q29" s="66">
        <f t="shared" ref="Q29:Q34" si="22">$Q$6</f>
        <v>50.07</v>
      </c>
      <c r="R29" s="66">
        <f t="shared" ref="R29:R34" si="23">$R$6</f>
        <v>30.91</v>
      </c>
    </row>
    <row r="30" spans="1:18" x14ac:dyDescent="0.3">
      <c r="A30" s="1"/>
      <c r="B30" s="58" t="s">
        <v>32</v>
      </c>
      <c r="C30" s="59">
        <v>2</v>
      </c>
      <c r="D30" s="47">
        <f t="shared" si="21"/>
        <v>1300.8800000000001</v>
      </c>
      <c r="E30" s="105"/>
      <c r="F30" s="64">
        <f t="shared" ref="F30:F34" si="24">$F$28</f>
        <v>819</v>
      </c>
      <c r="G30" s="64">
        <f t="shared" ref="G30:G34" si="25">$G$28</f>
        <v>330.99</v>
      </c>
      <c r="H30" s="65">
        <f>H29*2</f>
        <v>238.92</v>
      </c>
      <c r="I30" s="62">
        <f t="shared" si="17"/>
        <v>15610.560000000001</v>
      </c>
      <c r="J30" s="64">
        <f t="shared" ref="J30:J34" si="26">$J$28</f>
        <v>802.76</v>
      </c>
      <c r="K30" s="63">
        <f t="shared" si="0"/>
        <v>3243.52</v>
      </c>
      <c r="L30" s="63">
        <f t="shared" si="19"/>
        <v>9828</v>
      </c>
      <c r="M30" s="64">
        <f t="shared" si="19"/>
        <v>3971.88</v>
      </c>
      <c r="N30" s="64">
        <f t="shared" si="19"/>
        <v>2867.04</v>
      </c>
      <c r="O30" s="65">
        <f t="shared" si="2"/>
        <v>1139.82</v>
      </c>
      <c r="P30" s="66">
        <f t="shared" si="3"/>
        <v>36660.82</v>
      </c>
      <c r="Q30" s="66">
        <f t="shared" si="22"/>
        <v>50.07</v>
      </c>
      <c r="R30" s="66">
        <f t="shared" si="23"/>
        <v>30.91</v>
      </c>
    </row>
    <row r="31" spans="1:18" x14ac:dyDescent="0.3">
      <c r="A31" s="1"/>
      <c r="B31" s="58" t="s">
        <v>32</v>
      </c>
      <c r="C31" s="59">
        <v>3</v>
      </c>
      <c r="D31" s="47">
        <f t="shared" si="21"/>
        <v>1300.8800000000001</v>
      </c>
      <c r="E31" s="105"/>
      <c r="F31" s="64">
        <f t="shared" si="24"/>
        <v>819</v>
      </c>
      <c r="G31" s="64">
        <f t="shared" si="25"/>
        <v>330.99</v>
      </c>
      <c r="H31" s="65">
        <f>H29*3</f>
        <v>358.38</v>
      </c>
      <c r="I31" s="62">
        <f t="shared" si="17"/>
        <v>15610.560000000001</v>
      </c>
      <c r="J31" s="64">
        <f t="shared" si="26"/>
        <v>802.76</v>
      </c>
      <c r="K31" s="63">
        <f t="shared" si="0"/>
        <v>3243.52</v>
      </c>
      <c r="L31" s="63">
        <f t="shared" si="19"/>
        <v>9828</v>
      </c>
      <c r="M31" s="64">
        <f t="shared" si="19"/>
        <v>3971.88</v>
      </c>
      <c r="N31" s="64">
        <f t="shared" si="19"/>
        <v>4300.5599999999995</v>
      </c>
      <c r="O31" s="65">
        <f t="shared" si="2"/>
        <v>1378.74</v>
      </c>
      <c r="P31" s="66">
        <f t="shared" si="3"/>
        <v>38333.26</v>
      </c>
      <c r="Q31" s="66">
        <f t="shared" si="22"/>
        <v>50.07</v>
      </c>
      <c r="R31" s="66">
        <f t="shared" si="23"/>
        <v>30.91</v>
      </c>
    </row>
    <row r="32" spans="1:18" x14ac:dyDescent="0.3">
      <c r="A32" s="1"/>
      <c r="B32" s="58" t="s">
        <v>32</v>
      </c>
      <c r="C32" s="59">
        <v>4</v>
      </c>
      <c r="D32" s="47">
        <f t="shared" si="21"/>
        <v>1300.8800000000001</v>
      </c>
      <c r="E32" s="105"/>
      <c r="F32" s="64">
        <f t="shared" si="24"/>
        <v>819</v>
      </c>
      <c r="G32" s="64">
        <f t="shared" si="25"/>
        <v>330.99</v>
      </c>
      <c r="H32" s="65">
        <f>H29*4</f>
        <v>477.84</v>
      </c>
      <c r="I32" s="62">
        <f t="shared" si="17"/>
        <v>15610.560000000001</v>
      </c>
      <c r="J32" s="64">
        <f t="shared" si="26"/>
        <v>802.76</v>
      </c>
      <c r="K32" s="63">
        <f t="shared" si="0"/>
        <v>3243.52</v>
      </c>
      <c r="L32" s="63">
        <f t="shared" si="19"/>
        <v>9828</v>
      </c>
      <c r="M32" s="64">
        <f t="shared" si="19"/>
        <v>3971.88</v>
      </c>
      <c r="N32" s="64">
        <f t="shared" si="19"/>
        <v>5734.08</v>
      </c>
      <c r="O32" s="65">
        <f t="shared" si="2"/>
        <v>1617.6599999999999</v>
      </c>
      <c r="P32" s="66">
        <f t="shared" si="3"/>
        <v>40005.699999999997</v>
      </c>
      <c r="Q32" s="66">
        <f t="shared" si="22"/>
        <v>50.07</v>
      </c>
      <c r="R32" s="66">
        <f t="shared" si="23"/>
        <v>30.91</v>
      </c>
    </row>
    <row r="33" spans="1:18" x14ac:dyDescent="0.3">
      <c r="A33" s="1"/>
      <c r="B33" s="58" t="s">
        <v>32</v>
      </c>
      <c r="C33" s="59">
        <v>5</v>
      </c>
      <c r="D33" s="47">
        <f t="shared" si="21"/>
        <v>1300.8800000000001</v>
      </c>
      <c r="E33" s="106"/>
      <c r="F33" s="64">
        <f t="shared" si="24"/>
        <v>819</v>
      </c>
      <c r="G33" s="64">
        <f t="shared" si="25"/>
        <v>330.99</v>
      </c>
      <c r="H33" s="65">
        <f>H29*5</f>
        <v>597.29999999999995</v>
      </c>
      <c r="I33" s="62">
        <f t="shared" si="17"/>
        <v>15610.560000000001</v>
      </c>
      <c r="J33" s="64">
        <f t="shared" si="26"/>
        <v>802.76</v>
      </c>
      <c r="K33" s="63">
        <f t="shared" si="0"/>
        <v>3243.52</v>
      </c>
      <c r="L33" s="63">
        <f t="shared" si="19"/>
        <v>9828</v>
      </c>
      <c r="M33" s="64">
        <f t="shared" si="19"/>
        <v>3971.88</v>
      </c>
      <c r="N33" s="64">
        <f t="shared" si="19"/>
        <v>7167.5999999999995</v>
      </c>
      <c r="O33" s="65">
        <f t="shared" si="2"/>
        <v>1856.58</v>
      </c>
      <c r="P33" s="66">
        <f t="shared" si="3"/>
        <v>41678.140000000007</v>
      </c>
      <c r="Q33" s="66">
        <f t="shared" si="22"/>
        <v>50.07</v>
      </c>
      <c r="R33" s="66">
        <f t="shared" si="23"/>
        <v>30.91</v>
      </c>
    </row>
    <row r="34" spans="1:18" x14ac:dyDescent="0.3">
      <c r="A34" s="1"/>
      <c r="B34" s="58" t="s">
        <v>32</v>
      </c>
      <c r="C34" s="59">
        <v>6</v>
      </c>
      <c r="D34" s="47">
        <f t="shared" si="21"/>
        <v>1300.8800000000001</v>
      </c>
      <c r="E34" s="105"/>
      <c r="F34" s="64">
        <f t="shared" si="24"/>
        <v>819</v>
      </c>
      <c r="G34" s="64">
        <f t="shared" si="25"/>
        <v>330.99</v>
      </c>
      <c r="H34" s="65">
        <f>H29*6</f>
        <v>716.76</v>
      </c>
      <c r="I34" s="80">
        <f t="shared" si="17"/>
        <v>15610.560000000001</v>
      </c>
      <c r="J34" s="64">
        <f t="shared" si="26"/>
        <v>802.76</v>
      </c>
      <c r="K34" s="64">
        <f t="shared" si="0"/>
        <v>3243.52</v>
      </c>
      <c r="L34" s="63">
        <f t="shared" si="19"/>
        <v>9828</v>
      </c>
      <c r="M34" s="64">
        <f t="shared" si="19"/>
        <v>3971.88</v>
      </c>
      <c r="N34" s="64">
        <f t="shared" si="19"/>
        <v>8601.119999999999</v>
      </c>
      <c r="O34" s="81">
        <f t="shared" si="2"/>
        <v>2095.5</v>
      </c>
      <c r="P34" s="66">
        <f t="shared" si="3"/>
        <v>43350.58</v>
      </c>
      <c r="Q34" s="66">
        <f t="shared" si="22"/>
        <v>50.07</v>
      </c>
      <c r="R34" s="66">
        <f t="shared" si="23"/>
        <v>30.91</v>
      </c>
    </row>
    <row r="35" spans="1:18" x14ac:dyDescent="0.3">
      <c r="A35" s="1"/>
      <c r="B35" s="58" t="s">
        <v>33</v>
      </c>
      <c r="C35" s="79"/>
      <c r="D35" s="80">
        <f>$D$28*0.0361*12</f>
        <v>563.54121600000008</v>
      </c>
      <c r="E35" s="60"/>
      <c r="F35" s="64">
        <f>($F$28+$G$28)*0.0361*12</f>
        <v>498.17566800000003</v>
      </c>
      <c r="G35" s="64">
        <f>ROUND('[1]2022'!G39*1.025,2)</f>
        <v>0</v>
      </c>
      <c r="H35" s="65">
        <f>ROUND('[1]2022'!H39*1.025,2)</f>
        <v>0</v>
      </c>
      <c r="I35" s="80">
        <f>ROUND((D35)*12,2)</f>
        <v>6762.49</v>
      </c>
      <c r="J35" s="63">
        <f>$J$6*0.0361*12</f>
        <v>347.75563199999999</v>
      </c>
      <c r="K35" s="64">
        <f t="shared" si="0"/>
        <v>1691.8625999999999</v>
      </c>
      <c r="L35" s="63">
        <f t="shared" si="19"/>
        <v>5978.1080160000001</v>
      </c>
      <c r="M35" s="64">
        <f>G35*12</f>
        <v>0</v>
      </c>
      <c r="N35" s="105">
        <v>0</v>
      </c>
      <c r="O35" s="65">
        <f t="shared" si="2"/>
        <v>0</v>
      </c>
      <c r="P35" s="66">
        <f t="shared" si="3"/>
        <v>14432.460616</v>
      </c>
      <c r="Q35" s="66">
        <f>Q$6*0.0361*12</f>
        <v>21.690324</v>
      </c>
      <c r="R35" s="66">
        <f>R$6*0.0361*12</f>
        <v>13.390211999999998</v>
      </c>
    </row>
    <row r="36" spans="1:18" x14ac:dyDescent="0.3">
      <c r="A36" s="1"/>
      <c r="B36" s="73" t="s">
        <v>34</v>
      </c>
      <c r="C36" s="107"/>
      <c r="D36" s="80">
        <f>$D$28*0.0361*10</f>
        <v>469.61768000000006</v>
      </c>
      <c r="E36" s="60"/>
      <c r="F36" s="64">
        <f>($F$28+$G$28)*0.0361*10</f>
        <v>415.14639</v>
      </c>
      <c r="G36" s="64">
        <f>ROUND('[1]2022'!G40*1.025,2)</f>
        <v>0</v>
      </c>
      <c r="H36" s="65">
        <f>ROUND('[1]2022'!H40*1.025,2)</f>
        <v>0</v>
      </c>
      <c r="I36" s="47">
        <f t="shared" ref="I36:I38" si="27">ROUND((D36)*12,2)</f>
        <v>5635.41</v>
      </c>
      <c r="J36" s="63">
        <f>$J$6*0.0361*10</f>
        <v>289.79635999999999</v>
      </c>
      <c r="K36" s="64">
        <f t="shared" si="0"/>
        <v>1409.8854999999999</v>
      </c>
      <c r="L36" s="63">
        <f t="shared" si="19"/>
        <v>4981.7566800000004</v>
      </c>
      <c r="M36" s="105">
        <v>0</v>
      </c>
      <c r="N36" s="105">
        <v>0</v>
      </c>
      <c r="O36" s="65">
        <f t="shared" si="2"/>
        <v>0</v>
      </c>
      <c r="P36" s="66">
        <f t="shared" si="3"/>
        <v>12027.052180000001</v>
      </c>
      <c r="Q36" s="66">
        <f>Q$6*0.0361*10</f>
        <v>18.07527</v>
      </c>
      <c r="R36" s="66">
        <f>R$6*0.0361*10</f>
        <v>11.15851</v>
      </c>
    </row>
    <row r="37" spans="1:18" x14ac:dyDescent="0.3">
      <c r="A37" s="1"/>
      <c r="B37" s="73" t="s">
        <v>35</v>
      </c>
      <c r="C37" s="59"/>
      <c r="D37" s="80">
        <f>$D$28*0.0361*8</f>
        <v>375.69414400000005</v>
      </c>
      <c r="E37" s="60"/>
      <c r="F37" s="64">
        <f>($F$28+$G$28)*0.0361*8</f>
        <v>332.11711200000002</v>
      </c>
      <c r="G37" s="64">
        <f>ROUND('[1]2022'!G41*1.025,2)</f>
        <v>0</v>
      </c>
      <c r="H37" s="65">
        <f>ROUND('[1]2022'!H41*1.025,2)</f>
        <v>0</v>
      </c>
      <c r="I37" s="80">
        <f t="shared" si="27"/>
        <v>4508.33</v>
      </c>
      <c r="J37" s="63">
        <f>$J$6*0.0361*8</f>
        <v>231.83708799999999</v>
      </c>
      <c r="K37" s="64">
        <f t="shared" si="0"/>
        <v>1127.9084</v>
      </c>
      <c r="L37" s="63">
        <f t="shared" si="19"/>
        <v>3985.4053440000002</v>
      </c>
      <c r="M37" s="105">
        <v>0</v>
      </c>
      <c r="N37" s="105">
        <v>0</v>
      </c>
      <c r="O37" s="65">
        <f t="shared" si="2"/>
        <v>0</v>
      </c>
      <c r="P37" s="66">
        <f t="shared" si="3"/>
        <v>9621.6437440000009</v>
      </c>
      <c r="Q37" s="66">
        <f>Q$6*0.0361*8</f>
        <v>14.460216000000001</v>
      </c>
      <c r="R37" s="66">
        <f>R$6*0.0361*8</f>
        <v>8.9268079999999994</v>
      </c>
    </row>
    <row r="38" spans="1:18" ht="15" thickBot="1" x14ac:dyDescent="0.35">
      <c r="A38" s="1"/>
      <c r="B38" s="85" t="s">
        <v>36</v>
      </c>
      <c r="C38" s="108"/>
      <c r="D38" s="87">
        <f>$D$28*0.0361*6</f>
        <v>281.77060800000004</v>
      </c>
      <c r="E38" s="88"/>
      <c r="F38" s="89">
        <f>($F$28+$G$28)*0.0361*6</f>
        <v>249.08783400000002</v>
      </c>
      <c r="G38" s="89">
        <f>ROUND('[1]2022'!G42*1.025,2)</f>
        <v>0</v>
      </c>
      <c r="H38" s="90">
        <f>ROUND('[1]2022'!H42*1.025,2)</f>
        <v>0</v>
      </c>
      <c r="I38" s="91">
        <f t="shared" si="27"/>
        <v>3381.25</v>
      </c>
      <c r="J38" s="92">
        <f>$J$6*0.0361*6</f>
        <v>173.877816</v>
      </c>
      <c r="K38" s="89">
        <f t="shared" si="0"/>
        <v>845.93129999999996</v>
      </c>
      <c r="L38" s="89">
        <f t="shared" si="19"/>
        <v>2989.0540080000001</v>
      </c>
      <c r="M38" s="109">
        <v>0</v>
      </c>
      <c r="N38" s="109">
        <v>0</v>
      </c>
      <c r="O38" s="101">
        <f t="shared" si="2"/>
        <v>0</v>
      </c>
      <c r="P38" s="95">
        <f t="shared" si="3"/>
        <v>7216.2353080000003</v>
      </c>
      <c r="Q38" s="96">
        <f>Q$6*0.0361*6</f>
        <v>10.845162</v>
      </c>
      <c r="R38" s="96">
        <f>R$6*0.0361*6</f>
        <v>6.6951059999999991</v>
      </c>
    </row>
    <row r="39" spans="1:18" x14ac:dyDescent="0.3">
      <c r="A39" s="1"/>
      <c r="B39" s="2"/>
      <c r="C39" s="2" t="s">
        <v>40</v>
      </c>
      <c r="D39" s="3"/>
      <c r="E39" s="2"/>
      <c r="F39" s="3"/>
      <c r="G39" s="3"/>
      <c r="H39" s="3"/>
      <c r="I39" s="117" t="s">
        <v>45</v>
      </c>
      <c r="J39" s="118">
        <f>ROUND('2022'!J39*'2023'!$R$2,2)</f>
        <v>1350.34</v>
      </c>
      <c r="K39" s="3"/>
      <c r="L39" s="3"/>
      <c r="M39" s="3"/>
      <c r="N39" s="3"/>
      <c r="O39" s="3"/>
      <c r="P39" s="3"/>
      <c r="Q39" s="3"/>
      <c r="R39" s="3"/>
    </row>
    <row r="40" spans="1:18" x14ac:dyDescent="0.3">
      <c r="B40" s="120" t="s">
        <v>46</v>
      </c>
    </row>
    <row r="41" spans="1:18" x14ac:dyDescent="0.3">
      <c r="B41" s="1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</row>
  </sheetData>
  <mergeCells count="3">
    <mergeCell ref="B1:R1"/>
    <mergeCell ref="K2:M2"/>
    <mergeCell ref="G4:H4"/>
  </mergeCells>
  <pageMargins left="0.23622047244094491" right="0.23622047244094491" top="0.94488188976377963" bottom="0.35433070866141736" header="0.31496062992125984" footer="0.31496062992125984"/>
  <pageSetup paperSize="9" scale="82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CF289-A0F5-472D-9729-72921891BC03}">
  <sheetPr>
    <pageSetUpPr fitToPage="1"/>
  </sheetPr>
  <dimension ref="A1:R41"/>
  <sheetViews>
    <sheetView zoomScaleNormal="100" workbookViewId="0">
      <selection activeCell="J39" sqref="J39"/>
    </sheetView>
  </sheetViews>
  <sheetFormatPr baseColWidth="10" defaultRowHeight="14.4" x14ac:dyDescent="0.3"/>
  <cols>
    <col min="1" max="1" width="4.6640625" customWidth="1"/>
    <col min="2" max="2" width="6.6640625" customWidth="1"/>
    <col min="3" max="3" width="5.6640625" customWidth="1"/>
    <col min="4" max="4" width="9.6640625" customWidth="1"/>
    <col min="5" max="5" width="4.6640625" customWidth="1"/>
    <col min="6" max="6" width="10.33203125" customWidth="1"/>
    <col min="7" max="7" width="9.109375" customWidth="1"/>
    <col min="8" max="8" width="8.88671875" customWidth="1"/>
  </cols>
  <sheetData>
    <row r="1" spans="1:18" ht="56.25" customHeight="1" thickBot="1" x14ac:dyDescent="0.35">
      <c r="A1" s="1"/>
      <c r="B1" s="129" t="s">
        <v>43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</row>
    <row r="2" spans="1:18" ht="15" thickBot="1" x14ac:dyDescent="0.35">
      <c r="A2" s="1"/>
      <c r="B2" s="2"/>
      <c r="C2" s="2"/>
      <c r="D2" s="3"/>
      <c r="E2" s="2"/>
      <c r="F2" s="3"/>
      <c r="G2" s="3"/>
      <c r="J2" s="4"/>
      <c r="K2" s="126" t="s">
        <v>0</v>
      </c>
      <c r="L2" s="126"/>
      <c r="M2" s="126"/>
      <c r="N2" s="3"/>
      <c r="O2" s="3"/>
      <c r="P2" s="3"/>
      <c r="Q2" s="3"/>
      <c r="R2" s="3"/>
    </row>
    <row r="3" spans="1:18" x14ac:dyDescent="0.3">
      <c r="A3" s="1"/>
      <c r="B3" s="5"/>
      <c r="C3" s="6" t="s">
        <v>1</v>
      </c>
      <c r="D3" s="7"/>
      <c r="E3" s="8"/>
      <c r="F3" s="9"/>
      <c r="G3" s="10" t="s">
        <v>2</v>
      </c>
      <c r="H3" s="11"/>
      <c r="I3" s="12"/>
      <c r="J3" s="13"/>
      <c r="K3" s="13"/>
      <c r="L3" s="10" t="s">
        <v>3</v>
      </c>
      <c r="M3" s="14"/>
      <c r="N3" s="15"/>
      <c r="O3" s="15"/>
      <c r="P3" s="16" t="s">
        <v>4</v>
      </c>
      <c r="Q3" s="17"/>
      <c r="R3" s="18"/>
    </row>
    <row r="4" spans="1:18" x14ac:dyDescent="0.3">
      <c r="A4" s="1"/>
      <c r="B4" s="19" t="s">
        <v>5</v>
      </c>
      <c r="C4" s="20" t="s">
        <v>6</v>
      </c>
      <c r="D4" s="21" t="s">
        <v>7</v>
      </c>
      <c r="E4" s="22" t="s">
        <v>8</v>
      </c>
      <c r="F4" s="23" t="s">
        <v>9</v>
      </c>
      <c r="G4" s="127" t="s">
        <v>10</v>
      </c>
      <c r="H4" s="128"/>
      <c r="I4" s="24" t="s">
        <v>7</v>
      </c>
      <c r="J4" s="25" t="s">
        <v>7</v>
      </c>
      <c r="K4" s="26" t="s">
        <v>11</v>
      </c>
      <c r="L4" s="27" t="s">
        <v>12</v>
      </c>
      <c r="M4" s="28" t="s">
        <v>13</v>
      </c>
      <c r="N4" s="29"/>
      <c r="O4" s="30" t="s">
        <v>14</v>
      </c>
      <c r="P4" s="31" t="s">
        <v>15</v>
      </c>
      <c r="Q4" s="21" t="s">
        <v>16</v>
      </c>
      <c r="R4" s="32" t="s">
        <v>16</v>
      </c>
    </row>
    <row r="5" spans="1:18" ht="15" thickBot="1" x14ac:dyDescent="0.35">
      <c r="A5" s="1"/>
      <c r="B5" s="33" t="s">
        <v>17</v>
      </c>
      <c r="C5" s="34" t="s">
        <v>18</v>
      </c>
      <c r="D5" s="35"/>
      <c r="E5" s="34" t="s">
        <v>19</v>
      </c>
      <c r="F5" s="36" t="s">
        <v>20</v>
      </c>
      <c r="G5" s="37" t="s">
        <v>21</v>
      </c>
      <c r="H5" s="38" t="s">
        <v>22</v>
      </c>
      <c r="I5" s="39" t="s">
        <v>23</v>
      </c>
      <c r="J5" s="37" t="s">
        <v>24</v>
      </c>
      <c r="K5" s="37" t="s">
        <v>25</v>
      </c>
      <c r="L5" s="37" t="s">
        <v>23</v>
      </c>
      <c r="M5" s="37" t="s">
        <v>26</v>
      </c>
      <c r="N5" s="37" t="s">
        <v>27</v>
      </c>
      <c r="O5" s="40" t="s">
        <v>28</v>
      </c>
      <c r="P5" s="41"/>
      <c r="Q5" s="42" t="s">
        <v>29</v>
      </c>
      <c r="R5" s="43" t="s">
        <v>30</v>
      </c>
    </row>
    <row r="6" spans="1:18" ht="15" thickBot="1" x14ac:dyDescent="0.35">
      <c r="A6" s="44" t="s">
        <v>31</v>
      </c>
      <c r="B6" s="45" t="s">
        <v>32</v>
      </c>
      <c r="C6" s="46">
        <v>0</v>
      </c>
      <c r="D6" s="47">
        <v>1256.8900000000001</v>
      </c>
      <c r="E6" s="48">
        <v>29</v>
      </c>
      <c r="F6" s="49">
        <v>984.76</v>
      </c>
      <c r="G6" s="49">
        <v>1110.31</v>
      </c>
      <c r="H6" s="50">
        <v>0</v>
      </c>
      <c r="I6" s="51">
        <v>15082.68</v>
      </c>
      <c r="J6" s="49">
        <v>775.61</v>
      </c>
      <c r="K6" s="52">
        <v>3520.74</v>
      </c>
      <c r="L6" s="52">
        <v>11817.119999999999</v>
      </c>
      <c r="M6" s="53">
        <v>13323.72</v>
      </c>
      <c r="N6" s="53">
        <v>0</v>
      </c>
      <c r="O6" s="54">
        <v>2220.62</v>
      </c>
      <c r="P6" s="55">
        <v>45964.88</v>
      </c>
      <c r="Q6" s="56">
        <v>48.38</v>
      </c>
      <c r="R6" s="57">
        <v>29.86</v>
      </c>
    </row>
    <row r="7" spans="1:18" x14ac:dyDescent="0.3">
      <c r="A7" s="1" t="s">
        <v>15</v>
      </c>
      <c r="B7" s="58" t="s">
        <v>32</v>
      </c>
      <c r="C7" s="59">
        <v>1</v>
      </c>
      <c r="D7" s="47">
        <v>1256.8900000000001</v>
      </c>
      <c r="E7" s="60"/>
      <c r="F7" s="61">
        <v>984.76</v>
      </c>
      <c r="G7" s="50">
        <v>1110.31</v>
      </c>
      <c r="H7" s="50">
        <v>168.38</v>
      </c>
      <c r="I7" s="62">
        <v>15082.68</v>
      </c>
      <c r="J7" s="50">
        <v>775.61</v>
      </c>
      <c r="K7" s="63">
        <v>3520.74</v>
      </c>
      <c r="L7" s="63">
        <v>11817.119999999999</v>
      </c>
      <c r="M7" s="64">
        <v>13323.72</v>
      </c>
      <c r="N7" s="64">
        <v>2020.56</v>
      </c>
      <c r="O7" s="65">
        <v>2557.38</v>
      </c>
      <c r="P7" s="66">
        <v>48322.19999999999</v>
      </c>
      <c r="Q7" s="67">
        <v>48.38</v>
      </c>
      <c r="R7" s="68">
        <v>29.86</v>
      </c>
    </row>
    <row r="8" spans="1:18" x14ac:dyDescent="0.3">
      <c r="A8" s="1"/>
      <c r="B8" s="58" t="s">
        <v>32</v>
      </c>
      <c r="C8" s="59">
        <v>2</v>
      </c>
      <c r="D8" s="47">
        <v>1256.8900000000001</v>
      </c>
      <c r="E8" s="60"/>
      <c r="F8" s="69">
        <v>984.76</v>
      </c>
      <c r="G8" s="69">
        <v>1110.31</v>
      </c>
      <c r="H8" s="50">
        <v>336.77</v>
      </c>
      <c r="I8" s="62">
        <v>15082.68</v>
      </c>
      <c r="J8" s="50">
        <v>775.61</v>
      </c>
      <c r="K8" s="63">
        <v>3520.74</v>
      </c>
      <c r="L8" s="63">
        <v>11817.119999999999</v>
      </c>
      <c r="M8" s="64">
        <v>13323.72</v>
      </c>
      <c r="N8" s="64">
        <v>4041.24</v>
      </c>
      <c r="O8" s="65">
        <v>2894.16</v>
      </c>
      <c r="P8" s="66">
        <v>50679.659999999989</v>
      </c>
      <c r="Q8" s="67">
        <v>48.38</v>
      </c>
      <c r="R8" s="68">
        <v>29.86</v>
      </c>
    </row>
    <row r="9" spans="1:18" x14ac:dyDescent="0.3">
      <c r="A9" s="1"/>
      <c r="B9" s="58" t="s">
        <v>32</v>
      </c>
      <c r="C9" s="59">
        <v>3</v>
      </c>
      <c r="D9" s="47">
        <v>1256.8900000000001</v>
      </c>
      <c r="E9" s="60"/>
      <c r="F9" s="69">
        <v>984.76</v>
      </c>
      <c r="G9" s="69">
        <v>1110.31</v>
      </c>
      <c r="H9" s="50">
        <v>505.15</v>
      </c>
      <c r="I9" s="62">
        <v>15082.68</v>
      </c>
      <c r="J9" s="50">
        <v>775.61</v>
      </c>
      <c r="K9" s="63">
        <v>3520.74</v>
      </c>
      <c r="L9" s="63">
        <v>11817.119999999999</v>
      </c>
      <c r="M9" s="64">
        <v>13323.72</v>
      </c>
      <c r="N9" s="64">
        <v>6061.7999999999993</v>
      </c>
      <c r="O9" s="65">
        <v>3230.92</v>
      </c>
      <c r="P9" s="66">
        <v>53036.979999999996</v>
      </c>
      <c r="Q9" s="66">
        <v>48.38</v>
      </c>
      <c r="R9" s="70">
        <v>29.86</v>
      </c>
    </row>
    <row r="10" spans="1:18" x14ac:dyDescent="0.3">
      <c r="A10" s="1"/>
      <c r="B10" s="58" t="s">
        <v>32</v>
      </c>
      <c r="C10" s="59">
        <v>4</v>
      </c>
      <c r="D10" s="47">
        <v>1256.8900000000001</v>
      </c>
      <c r="E10" s="60"/>
      <c r="F10" s="64">
        <v>984.76</v>
      </c>
      <c r="G10" s="64">
        <v>1110.31</v>
      </c>
      <c r="H10" s="50">
        <v>673.54</v>
      </c>
      <c r="I10" s="62">
        <v>15082.68</v>
      </c>
      <c r="J10" s="50">
        <v>775.61</v>
      </c>
      <c r="K10" s="63">
        <v>3520.74</v>
      </c>
      <c r="L10" s="63">
        <v>11817.119999999999</v>
      </c>
      <c r="M10" s="64">
        <v>13323.72</v>
      </c>
      <c r="N10" s="64">
        <v>8082.48</v>
      </c>
      <c r="O10" s="65">
        <v>3567.7</v>
      </c>
      <c r="P10" s="66">
        <v>55394.439999999988</v>
      </c>
      <c r="Q10" s="71">
        <v>48.38</v>
      </c>
      <c r="R10" s="72">
        <v>29.86</v>
      </c>
    </row>
    <row r="11" spans="1:18" x14ac:dyDescent="0.3">
      <c r="A11" s="1"/>
      <c r="B11" s="73" t="s">
        <v>32</v>
      </c>
      <c r="C11" s="74">
        <v>5</v>
      </c>
      <c r="D11" s="47">
        <v>1256.8900000000001</v>
      </c>
      <c r="E11" s="75"/>
      <c r="F11" s="76">
        <v>984.76</v>
      </c>
      <c r="G11" s="76">
        <v>1110.31</v>
      </c>
      <c r="H11" s="50">
        <v>841.92</v>
      </c>
      <c r="I11" s="77">
        <v>15082.68</v>
      </c>
      <c r="J11" s="50">
        <v>775.61</v>
      </c>
      <c r="K11" s="78">
        <v>3520.74</v>
      </c>
      <c r="L11" s="78">
        <v>11817.119999999999</v>
      </c>
      <c r="M11" s="76">
        <v>13323.72</v>
      </c>
      <c r="N11" s="76">
        <v>10103.039999999999</v>
      </c>
      <c r="O11" s="65">
        <v>3904.46</v>
      </c>
      <c r="P11" s="66">
        <v>57751.759999999995</v>
      </c>
      <c r="Q11" s="71">
        <v>48.38</v>
      </c>
      <c r="R11" s="72">
        <v>29.86</v>
      </c>
    </row>
    <row r="12" spans="1:18" x14ac:dyDescent="0.3">
      <c r="A12" s="1"/>
      <c r="B12" s="58" t="s">
        <v>32</v>
      </c>
      <c r="C12" s="79">
        <v>6</v>
      </c>
      <c r="D12" s="47">
        <v>1256.8900000000001</v>
      </c>
      <c r="E12" s="60"/>
      <c r="F12" s="78">
        <v>984.76</v>
      </c>
      <c r="G12" s="76">
        <v>1110.31</v>
      </c>
      <c r="H12" s="50">
        <v>1010.3</v>
      </c>
      <c r="I12" s="80">
        <v>15082.68</v>
      </c>
      <c r="J12" s="50">
        <v>775.61</v>
      </c>
      <c r="K12" s="64">
        <v>3520.74</v>
      </c>
      <c r="L12" s="63">
        <v>11817.119999999999</v>
      </c>
      <c r="M12" s="64">
        <v>13323.72</v>
      </c>
      <c r="N12" s="64">
        <v>12123.599999999999</v>
      </c>
      <c r="O12" s="81">
        <v>4241.2199999999993</v>
      </c>
      <c r="P12" s="66">
        <v>60109.079999999994</v>
      </c>
      <c r="Q12" s="82">
        <v>48.38</v>
      </c>
      <c r="R12" s="83">
        <v>29.86</v>
      </c>
    </row>
    <row r="13" spans="1:18" x14ac:dyDescent="0.3">
      <c r="A13" s="1" t="s">
        <v>15</v>
      </c>
      <c r="B13" s="58" t="s">
        <v>33</v>
      </c>
      <c r="C13" s="79"/>
      <c r="D13" s="80">
        <v>544.48</v>
      </c>
      <c r="E13" s="60"/>
      <c r="F13" s="64">
        <v>907.58</v>
      </c>
      <c r="G13" s="64">
        <v>0</v>
      </c>
      <c r="H13" s="65">
        <v>0</v>
      </c>
      <c r="I13" s="80">
        <v>6533.76</v>
      </c>
      <c r="J13" s="63">
        <v>335.99</v>
      </c>
      <c r="K13" s="64">
        <v>2487.1400000000003</v>
      </c>
      <c r="L13" s="63">
        <v>10890.960000000001</v>
      </c>
      <c r="M13" s="64">
        <v>0</v>
      </c>
      <c r="N13" s="64">
        <v>0</v>
      </c>
      <c r="O13" s="65">
        <v>0</v>
      </c>
      <c r="P13" s="66">
        <v>19911.86</v>
      </c>
      <c r="Q13" s="66">
        <v>20.96</v>
      </c>
      <c r="R13" s="66">
        <v>12.94</v>
      </c>
    </row>
    <row r="14" spans="1:18" x14ac:dyDescent="0.3">
      <c r="A14" s="1" t="s">
        <v>15</v>
      </c>
      <c r="B14" s="73" t="s">
        <v>34</v>
      </c>
      <c r="C14" s="48"/>
      <c r="D14" s="80">
        <v>453.74</v>
      </c>
      <c r="E14" s="60"/>
      <c r="F14" s="64">
        <v>756.32</v>
      </c>
      <c r="G14" s="64">
        <v>0</v>
      </c>
      <c r="H14" s="65">
        <v>0</v>
      </c>
      <c r="I14" s="47">
        <v>5444.88</v>
      </c>
      <c r="J14" s="63">
        <v>280</v>
      </c>
      <c r="K14" s="64">
        <v>2072.6400000000003</v>
      </c>
      <c r="L14" s="78">
        <v>9075.84</v>
      </c>
      <c r="M14" s="84">
        <v>0</v>
      </c>
      <c r="N14" s="84">
        <v>0</v>
      </c>
      <c r="O14" s="65">
        <v>0</v>
      </c>
      <c r="P14" s="66">
        <v>16593.36</v>
      </c>
      <c r="Q14" s="66">
        <v>17.47</v>
      </c>
      <c r="R14" s="66">
        <v>10.78</v>
      </c>
    </row>
    <row r="15" spans="1:18" x14ac:dyDescent="0.3">
      <c r="A15" s="1" t="s">
        <v>15</v>
      </c>
      <c r="B15" s="73" t="s">
        <v>35</v>
      </c>
      <c r="C15" s="48"/>
      <c r="D15" s="80">
        <v>362.99</v>
      </c>
      <c r="E15" s="60"/>
      <c r="F15" s="64">
        <v>605.05999999999995</v>
      </c>
      <c r="G15" s="64">
        <v>0</v>
      </c>
      <c r="H15" s="65">
        <v>0</v>
      </c>
      <c r="I15" s="80">
        <v>4355.88</v>
      </c>
      <c r="J15" s="63">
        <v>224</v>
      </c>
      <c r="K15" s="64">
        <v>1658.12</v>
      </c>
      <c r="L15" s="78">
        <v>7260.7199999999993</v>
      </c>
      <c r="M15" s="84">
        <v>0</v>
      </c>
      <c r="N15" s="84">
        <v>0</v>
      </c>
      <c r="O15" s="65">
        <v>0</v>
      </c>
      <c r="P15" s="66">
        <v>13274.72</v>
      </c>
      <c r="Q15" s="66">
        <v>13.97</v>
      </c>
      <c r="R15" s="66">
        <v>8.6199999999999992</v>
      </c>
    </row>
    <row r="16" spans="1:18" ht="15" thickBot="1" x14ac:dyDescent="0.35">
      <c r="A16" s="1" t="s">
        <v>15</v>
      </c>
      <c r="B16" s="85" t="s">
        <v>36</v>
      </c>
      <c r="C16" s="86"/>
      <c r="D16" s="87">
        <v>272.24</v>
      </c>
      <c r="E16" s="88"/>
      <c r="F16" s="89">
        <v>453.79</v>
      </c>
      <c r="G16" s="89">
        <v>0</v>
      </c>
      <c r="H16" s="90">
        <v>0</v>
      </c>
      <c r="I16" s="91">
        <v>3266.88</v>
      </c>
      <c r="J16" s="92">
        <v>168</v>
      </c>
      <c r="K16" s="89">
        <v>1243.58</v>
      </c>
      <c r="L16" s="93">
        <v>5445.4800000000005</v>
      </c>
      <c r="M16" s="94">
        <v>0</v>
      </c>
      <c r="N16" s="94">
        <v>0</v>
      </c>
      <c r="O16" s="90">
        <v>0</v>
      </c>
      <c r="P16" s="95">
        <v>9955.94</v>
      </c>
      <c r="Q16" s="96">
        <v>10.48</v>
      </c>
      <c r="R16" s="96">
        <v>6.47</v>
      </c>
    </row>
    <row r="17" spans="1:18" ht="15" thickBot="1" x14ac:dyDescent="0.35">
      <c r="A17" s="97" t="s">
        <v>37</v>
      </c>
      <c r="B17" s="73" t="s">
        <v>32</v>
      </c>
      <c r="C17" s="74">
        <v>0</v>
      </c>
      <c r="D17" s="47">
        <v>1256.8900000000001</v>
      </c>
      <c r="E17" s="48">
        <v>27</v>
      </c>
      <c r="F17" s="49">
        <v>901.93</v>
      </c>
      <c r="G17" s="49">
        <v>517.98</v>
      </c>
      <c r="H17" s="98">
        <v>0</v>
      </c>
      <c r="I17" s="99">
        <v>15082.68</v>
      </c>
      <c r="J17" s="52">
        <v>775.61</v>
      </c>
      <c r="K17" s="76">
        <v>3355.08</v>
      </c>
      <c r="L17" s="78">
        <v>10823.16</v>
      </c>
      <c r="M17" s="76">
        <v>6215.76</v>
      </c>
      <c r="N17" s="76">
        <v>0</v>
      </c>
      <c r="O17" s="81">
        <v>1035.96</v>
      </c>
      <c r="P17" s="82">
        <v>36512.639999999999</v>
      </c>
      <c r="Q17" s="82">
        <v>48.38</v>
      </c>
      <c r="R17" s="82">
        <v>29.86</v>
      </c>
    </row>
    <row r="18" spans="1:18" ht="15" thickBot="1" x14ac:dyDescent="0.35">
      <c r="A18" s="44" t="s">
        <v>38</v>
      </c>
      <c r="B18" s="58" t="s">
        <v>32</v>
      </c>
      <c r="C18" s="59">
        <v>1</v>
      </c>
      <c r="D18" s="100">
        <v>1256.8900000000001</v>
      </c>
      <c r="E18" s="60"/>
      <c r="F18" s="76">
        <v>901.93</v>
      </c>
      <c r="G18" s="76">
        <v>517.98</v>
      </c>
      <c r="H18" s="65">
        <v>136.38</v>
      </c>
      <c r="I18" s="63">
        <v>15082.68</v>
      </c>
      <c r="J18" s="64">
        <v>775.61</v>
      </c>
      <c r="K18" s="64">
        <v>3355.08</v>
      </c>
      <c r="L18" s="63">
        <v>10823.16</v>
      </c>
      <c r="M18" s="64">
        <v>6215.76</v>
      </c>
      <c r="N18" s="64">
        <v>1636.56</v>
      </c>
      <c r="O18" s="65">
        <v>1308.72</v>
      </c>
      <c r="P18" s="66">
        <v>38421.96</v>
      </c>
      <c r="Q18" s="66">
        <v>48.38</v>
      </c>
      <c r="R18" s="70">
        <v>29.86</v>
      </c>
    </row>
    <row r="19" spans="1:18" x14ac:dyDescent="0.3">
      <c r="A19" s="1" t="s">
        <v>15</v>
      </c>
      <c r="B19" s="58" t="s">
        <v>32</v>
      </c>
      <c r="C19" s="59">
        <v>2</v>
      </c>
      <c r="D19" s="100">
        <v>1256.8900000000001</v>
      </c>
      <c r="E19" s="60"/>
      <c r="F19" s="76">
        <v>901.93</v>
      </c>
      <c r="G19" s="76">
        <v>517.98</v>
      </c>
      <c r="H19" s="65">
        <v>272.76</v>
      </c>
      <c r="I19" s="63">
        <v>15082.68</v>
      </c>
      <c r="J19" s="50">
        <v>775.61</v>
      </c>
      <c r="K19" s="64">
        <v>3355.08</v>
      </c>
      <c r="L19" s="63">
        <v>10823.16</v>
      </c>
      <c r="M19" s="64">
        <v>6215.76</v>
      </c>
      <c r="N19" s="64">
        <v>3273.12</v>
      </c>
      <c r="O19" s="65">
        <v>1581.48</v>
      </c>
      <c r="P19" s="66">
        <v>40331.280000000006</v>
      </c>
      <c r="Q19" s="66">
        <v>48.38</v>
      </c>
      <c r="R19" s="70">
        <v>29.86</v>
      </c>
    </row>
    <row r="20" spans="1:18" x14ac:dyDescent="0.3">
      <c r="A20" s="1" t="s">
        <v>15</v>
      </c>
      <c r="B20" s="58" t="s">
        <v>32</v>
      </c>
      <c r="C20" s="59">
        <v>3</v>
      </c>
      <c r="D20" s="100">
        <v>1256.8900000000001</v>
      </c>
      <c r="E20" s="60"/>
      <c r="F20" s="76">
        <v>901.93</v>
      </c>
      <c r="G20" s="76">
        <v>517.98</v>
      </c>
      <c r="H20" s="65">
        <v>409.15</v>
      </c>
      <c r="I20" s="63">
        <v>15082.68</v>
      </c>
      <c r="J20" s="64">
        <v>775.61</v>
      </c>
      <c r="K20" s="64">
        <v>3355.08</v>
      </c>
      <c r="L20" s="63">
        <v>10823.16</v>
      </c>
      <c r="M20" s="64">
        <v>6215.76</v>
      </c>
      <c r="N20" s="64">
        <v>4909.7999999999993</v>
      </c>
      <c r="O20" s="65">
        <v>1854.26</v>
      </c>
      <c r="P20" s="66">
        <v>42240.74</v>
      </c>
      <c r="Q20" s="66">
        <v>48.38</v>
      </c>
      <c r="R20" s="70">
        <v>29.86</v>
      </c>
    </row>
    <row r="21" spans="1:18" x14ac:dyDescent="0.3">
      <c r="A21" s="1" t="s">
        <v>15</v>
      </c>
      <c r="B21" s="58" t="s">
        <v>32</v>
      </c>
      <c r="C21" s="59">
        <v>4</v>
      </c>
      <c r="D21" s="100">
        <v>1256.8900000000001</v>
      </c>
      <c r="E21" s="60"/>
      <c r="F21" s="76">
        <v>901.93</v>
      </c>
      <c r="G21" s="76">
        <v>517.98</v>
      </c>
      <c r="H21" s="65">
        <v>545.53</v>
      </c>
      <c r="I21" s="63">
        <v>15082.68</v>
      </c>
      <c r="J21" s="50">
        <v>775.61</v>
      </c>
      <c r="K21" s="64">
        <v>3355.08</v>
      </c>
      <c r="L21" s="63">
        <v>10823.16</v>
      </c>
      <c r="M21" s="64">
        <v>6215.76</v>
      </c>
      <c r="N21" s="64">
        <v>6546.36</v>
      </c>
      <c r="O21" s="65">
        <v>2127.02</v>
      </c>
      <c r="P21" s="66">
        <v>44150.06</v>
      </c>
      <c r="Q21" s="66">
        <v>48.38</v>
      </c>
      <c r="R21" s="70">
        <v>29.86</v>
      </c>
    </row>
    <row r="22" spans="1:18" x14ac:dyDescent="0.3">
      <c r="A22" s="1" t="s">
        <v>15</v>
      </c>
      <c r="B22" s="58" t="s">
        <v>32</v>
      </c>
      <c r="C22" s="59">
        <v>5</v>
      </c>
      <c r="D22" s="100">
        <v>1256.8900000000001</v>
      </c>
      <c r="E22" s="60"/>
      <c r="F22" s="76">
        <v>901.93</v>
      </c>
      <c r="G22" s="76">
        <v>517.98</v>
      </c>
      <c r="H22" s="65">
        <v>681.91</v>
      </c>
      <c r="I22" s="78">
        <v>15082.68</v>
      </c>
      <c r="J22" s="64">
        <v>775.61</v>
      </c>
      <c r="K22" s="64">
        <v>3355.08</v>
      </c>
      <c r="L22" s="63">
        <v>10823.16</v>
      </c>
      <c r="M22" s="64">
        <v>6215.76</v>
      </c>
      <c r="N22" s="64">
        <v>8182.92</v>
      </c>
      <c r="O22" s="65">
        <v>2399.7799999999997</v>
      </c>
      <c r="P22" s="66">
        <v>46059.38</v>
      </c>
      <c r="Q22" s="66">
        <v>48.38</v>
      </c>
      <c r="R22" s="70">
        <v>29.86</v>
      </c>
    </row>
    <row r="23" spans="1:18" x14ac:dyDescent="0.3">
      <c r="A23" s="1" t="s">
        <v>15</v>
      </c>
      <c r="B23" s="58" t="s">
        <v>32</v>
      </c>
      <c r="C23" s="79">
        <v>6</v>
      </c>
      <c r="D23" s="100">
        <v>1256.8900000000001</v>
      </c>
      <c r="E23" s="60"/>
      <c r="F23" s="76">
        <v>901.93</v>
      </c>
      <c r="G23" s="76">
        <v>517.98</v>
      </c>
      <c r="H23" s="65">
        <v>818.29</v>
      </c>
      <c r="I23" s="63">
        <v>15082.68</v>
      </c>
      <c r="J23" s="50">
        <v>775.61</v>
      </c>
      <c r="K23" s="64">
        <v>3355.08</v>
      </c>
      <c r="L23" s="63">
        <v>10823.16</v>
      </c>
      <c r="M23" s="64">
        <v>6215.76</v>
      </c>
      <c r="N23" s="64">
        <v>9819.48</v>
      </c>
      <c r="O23" s="81">
        <v>2672.54</v>
      </c>
      <c r="P23" s="66">
        <v>47968.700000000004</v>
      </c>
      <c r="Q23" s="82">
        <v>48.38</v>
      </c>
      <c r="R23" s="83">
        <v>29.86</v>
      </c>
    </row>
    <row r="24" spans="1:18" x14ac:dyDescent="0.3">
      <c r="A24" s="1" t="s">
        <v>15</v>
      </c>
      <c r="B24" s="58" t="s">
        <v>33</v>
      </c>
      <c r="C24" s="79"/>
      <c r="D24" s="80">
        <v>544.48</v>
      </c>
      <c r="E24" s="60"/>
      <c r="F24" s="64">
        <v>615.11</v>
      </c>
      <c r="G24" s="64">
        <v>0</v>
      </c>
      <c r="H24" s="65">
        <v>0</v>
      </c>
      <c r="I24" s="80">
        <v>6533.76</v>
      </c>
      <c r="J24" s="63">
        <v>335.99</v>
      </c>
      <c r="K24" s="64">
        <v>1902.2</v>
      </c>
      <c r="L24" s="63">
        <v>7381.32</v>
      </c>
      <c r="M24" s="64">
        <v>0</v>
      </c>
      <c r="N24" s="64">
        <v>0</v>
      </c>
      <c r="O24" s="65">
        <v>0</v>
      </c>
      <c r="P24" s="66">
        <v>15817.28</v>
      </c>
      <c r="Q24" s="71">
        <v>20.96</v>
      </c>
      <c r="R24" s="71">
        <v>12.94</v>
      </c>
    </row>
    <row r="25" spans="1:18" x14ac:dyDescent="0.3">
      <c r="A25" s="1" t="s">
        <v>15</v>
      </c>
      <c r="B25" s="73" t="s">
        <v>34</v>
      </c>
      <c r="C25" s="48"/>
      <c r="D25" s="80">
        <v>453.74</v>
      </c>
      <c r="E25" s="60"/>
      <c r="F25" s="64">
        <v>512.59</v>
      </c>
      <c r="G25" s="64">
        <v>0</v>
      </c>
      <c r="H25" s="65">
        <v>0</v>
      </c>
      <c r="I25" s="80">
        <v>5444.88</v>
      </c>
      <c r="J25" s="63">
        <v>280</v>
      </c>
      <c r="K25" s="64">
        <v>1585.18</v>
      </c>
      <c r="L25" s="78">
        <v>6151.08</v>
      </c>
      <c r="M25" s="84">
        <v>0</v>
      </c>
      <c r="N25" s="84">
        <v>0</v>
      </c>
      <c r="O25" s="65">
        <v>0</v>
      </c>
      <c r="P25" s="66">
        <v>13181.14</v>
      </c>
      <c r="Q25" s="66">
        <v>17.47</v>
      </c>
      <c r="R25" s="66">
        <v>10.78</v>
      </c>
    </row>
    <row r="26" spans="1:18" x14ac:dyDescent="0.3">
      <c r="A26" s="1" t="s">
        <v>15</v>
      </c>
      <c r="B26" s="73" t="s">
        <v>35</v>
      </c>
      <c r="C26" s="48"/>
      <c r="D26" s="80">
        <v>362.99</v>
      </c>
      <c r="E26" s="60"/>
      <c r="F26" s="64">
        <v>410.07</v>
      </c>
      <c r="G26" s="64">
        <v>0</v>
      </c>
      <c r="H26" s="65">
        <v>0</v>
      </c>
      <c r="I26" s="80">
        <v>4355.88</v>
      </c>
      <c r="J26" s="63">
        <v>224</v>
      </c>
      <c r="K26" s="64">
        <v>1268.1399999999999</v>
      </c>
      <c r="L26" s="78">
        <v>4920.84</v>
      </c>
      <c r="M26" s="84">
        <v>0</v>
      </c>
      <c r="N26" s="84">
        <v>0</v>
      </c>
      <c r="O26" s="65">
        <v>0</v>
      </c>
      <c r="P26" s="66">
        <v>10544.86</v>
      </c>
      <c r="Q26" s="66">
        <v>13.97</v>
      </c>
      <c r="R26" s="66">
        <v>8.6199999999999992</v>
      </c>
    </row>
    <row r="27" spans="1:18" ht="15" thickBot="1" x14ac:dyDescent="0.35">
      <c r="A27" s="1" t="s">
        <v>15</v>
      </c>
      <c r="B27" s="73" t="s">
        <v>36</v>
      </c>
      <c r="C27" s="48"/>
      <c r="D27" s="87">
        <v>272.24</v>
      </c>
      <c r="E27" s="88"/>
      <c r="F27" s="89">
        <v>307.55</v>
      </c>
      <c r="G27" s="89">
        <v>0</v>
      </c>
      <c r="H27" s="90">
        <v>0</v>
      </c>
      <c r="I27" s="87">
        <v>3266.88</v>
      </c>
      <c r="J27" s="92">
        <v>168</v>
      </c>
      <c r="K27" s="64">
        <v>951.1</v>
      </c>
      <c r="L27" s="78">
        <v>3690.6000000000004</v>
      </c>
      <c r="M27" s="84">
        <v>0</v>
      </c>
      <c r="N27" s="84">
        <v>0</v>
      </c>
      <c r="O27" s="101">
        <v>0</v>
      </c>
      <c r="P27" s="95">
        <v>7908.5800000000008</v>
      </c>
      <c r="Q27" s="96">
        <v>10.48</v>
      </c>
      <c r="R27" s="96">
        <v>6.47</v>
      </c>
    </row>
    <row r="28" spans="1:18" ht="15" thickBot="1" x14ac:dyDescent="0.35">
      <c r="A28" s="97" t="s">
        <v>39</v>
      </c>
      <c r="B28" s="45" t="s">
        <v>32</v>
      </c>
      <c r="C28" s="46">
        <v>0</v>
      </c>
      <c r="D28" s="47">
        <v>1256.8900000000001</v>
      </c>
      <c r="E28" s="102">
        <v>26</v>
      </c>
      <c r="F28" s="76">
        <v>791.3</v>
      </c>
      <c r="G28" s="76">
        <v>319.8</v>
      </c>
      <c r="H28" s="103">
        <v>0</v>
      </c>
      <c r="I28" s="51">
        <v>15082.68</v>
      </c>
      <c r="J28" s="52">
        <v>775.61</v>
      </c>
      <c r="K28" s="49">
        <v>3133.8199999999997</v>
      </c>
      <c r="L28" s="52">
        <v>9495.5999999999985</v>
      </c>
      <c r="M28" s="53">
        <v>3837.6000000000004</v>
      </c>
      <c r="N28" s="53">
        <v>0</v>
      </c>
      <c r="O28" s="54">
        <v>639.6</v>
      </c>
      <c r="P28" s="55">
        <v>32189.299999999996</v>
      </c>
      <c r="Q28" s="66">
        <v>48.38</v>
      </c>
      <c r="R28" s="66">
        <v>29.86</v>
      </c>
    </row>
    <row r="29" spans="1:18" x14ac:dyDescent="0.3">
      <c r="A29" s="1"/>
      <c r="B29" s="58" t="s">
        <v>32</v>
      </c>
      <c r="C29" s="59">
        <v>1</v>
      </c>
      <c r="D29" s="80">
        <v>1256.8900000000001</v>
      </c>
      <c r="E29" s="104"/>
      <c r="F29" s="64">
        <v>791.3</v>
      </c>
      <c r="G29" s="64">
        <v>319.8</v>
      </c>
      <c r="H29" s="65">
        <v>115.42</v>
      </c>
      <c r="I29" s="77">
        <v>15082.68</v>
      </c>
      <c r="J29" s="64">
        <v>775.61</v>
      </c>
      <c r="K29" s="63">
        <v>3133.8199999999997</v>
      </c>
      <c r="L29" s="63">
        <v>9495.5999999999985</v>
      </c>
      <c r="M29" s="64">
        <v>3837.6000000000004</v>
      </c>
      <c r="N29" s="64">
        <v>1385.04</v>
      </c>
      <c r="O29" s="65">
        <v>870.44</v>
      </c>
      <c r="P29" s="66">
        <v>33805.18</v>
      </c>
      <c r="Q29" s="66">
        <v>48.38</v>
      </c>
      <c r="R29" s="70">
        <v>29.86</v>
      </c>
    </row>
    <row r="30" spans="1:18" x14ac:dyDescent="0.3">
      <c r="A30" s="1"/>
      <c r="B30" s="58" t="s">
        <v>32</v>
      </c>
      <c r="C30" s="59">
        <v>2</v>
      </c>
      <c r="D30" s="80">
        <v>1256.8900000000001</v>
      </c>
      <c r="E30" s="105"/>
      <c r="F30" s="50">
        <v>791.3</v>
      </c>
      <c r="G30" s="61">
        <v>319.8</v>
      </c>
      <c r="H30" s="65">
        <v>230.85</v>
      </c>
      <c r="I30" s="62">
        <v>15082.68</v>
      </c>
      <c r="J30" s="50">
        <v>775.61</v>
      </c>
      <c r="K30" s="63">
        <v>3133.8199999999997</v>
      </c>
      <c r="L30" s="63">
        <v>9495.5999999999985</v>
      </c>
      <c r="M30" s="64">
        <v>3837.6000000000004</v>
      </c>
      <c r="N30" s="64">
        <v>2770.2</v>
      </c>
      <c r="O30" s="65">
        <v>1101.3</v>
      </c>
      <c r="P30" s="66">
        <v>35421.199999999997</v>
      </c>
      <c r="Q30" s="66">
        <v>48.38</v>
      </c>
      <c r="R30" s="70">
        <v>29.86</v>
      </c>
    </row>
    <row r="31" spans="1:18" x14ac:dyDescent="0.3">
      <c r="A31" s="1"/>
      <c r="B31" s="58" t="s">
        <v>32</v>
      </c>
      <c r="C31" s="59">
        <v>3</v>
      </c>
      <c r="D31" s="47">
        <v>1256.8900000000001</v>
      </c>
      <c r="E31" s="105"/>
      <c r="F31" s="64">
        <v>791.3</v>
      </c>
      <c r="G31" s="64">
        <v>319.8</v>
      </c>
      <c r="H31" s="65">
        <v>346.27</v>
      </c>
      <c r="I31" s="62">
        <v>15082.68</v>
      </c>
      <c r="J31" s="64">
        <v>775.61</v>
      </c>
      <c r="K31" s="63">
        <v>3133.8199999999997</v>
      </c>
      <c r="L31" s="63">
        <v>9495.5999999999985</v>
      </c>
      <c r="M31" s="64">
        <v>3837.6000000000004</v>
      </c>
      <c r="N31" s="64">
        <v>4155.24</v>
      </c>
      <c r="O31" s="65">
        <v>1332.1399999999999</v>
      </c>
      <c r="P31" s="66">
        <v>37037.079999999994</v>
      </c>
      <c r="Q31" s="66">
        <v>48.38</v>
      </c>
      <c r="R31" s="70">
        <v>29.86</v>
      </c>
    </row>
    <row r="32" spans="1:18" x14ac:dyDescent="0.3">
      <c r="A32" s="1"/>
      <c r="B32" s="58" t="s">
        <v>32</v>
      </c>
      <c r="C32" s="59">
        <v>4</v>
      </c>
      <c r="D32" s="80">
        <v>1256.8900000000001</v>
      </c>
      <c r="E32" s="105"/>
      <c r="F32" s="50">
        <v>791.3</v>
      </c>
      <c r="G32" s="61">
        <v>319.8</v>
      </c>
      <c r="H32" s="65">
        <v>461.69</v>
      </c>
      <c r="I32" s="62">
        <v>15082.68</v>
      </c>
      <c r="J32" s="50">
        <v>775.61</v>
      </c>
      <c r="K32" s="63">
        <v>3133.8199999999997</v>
      </c>
      <c r="L32" s="63">
        <v>9495.5999999999985</v>
      </c>
      <c r="M32" s="64">
        <v>3837.6000000000004</v>
      </c>
      <c r="N32" s="64">
        <v>5540.28</v>
      </c>
      <c r="O32" s="65">
        <v>1562.98</v>
      </c>
      <c r="P32" s="66">
        <v>38652.959999999999</v>
      </c>
      <c r="Q32" s="66">
        <v>48.38</v>
      </c>
      <c r="R32" s="70">
        <v>29.86</v>
      </c>
    </row>
    <row r="33" spans="1:18" x14ac:dyDescent="0.3">
      <c r="A33" s="1"/>
      <c r="B33" s="58" t="s">
        <v>32</v>
      </c>
      <c r="C33" s="59">
        <v>5</v>
      </c>
      <c r="D33" s="80">
        <v>1256.8900000000001</v>
      </c>
      <c r="E33" s="106"/>
      <c r="F33" s="64">
        <v>791.3</v>
      </c>
      <c r="G33" s="64">
        <v>319.8</v>
      </c>
      <c r="H33" s="65">
        <v>577.12</v>
      </c>
      <c r="I33" s="62">
        <v>15082.68</v>
      </c>
      <c r="J33" s="64">
        <v>775.61</v>
      </c>
      <c r="K33" s="63">
        <v>3133.8199999999997</v>
      </c>
      <c r="L33" s="63">
        <v>9495.5999999999985</v>
      </c>
      <c r="M33" s="64">
        <v>3837.6000000000004</v>
      </c>
      <c r="N33" s="64">
        <v>6925.4400000000005</v>
      </c>
      <c r="O33" s="65">
        <v>1793.8400000000001</v>
      </c>
      <c r="P33" s="66">
        <v>40268.979999999996</v>
      </c>
      <c r="Q33" s="66">
        <v>48.38</v>
      </c>
      <c r="R33" s="70">
        <v>29.86</v>
      </c>
    </row>
    <row r="34" spans="1:18" x14ac:dyDescent="0.3">
      <c r="A34" s="1"/>
      <c r="B34" s="58" t="s">
        <v>32</v>
      </c>
      <c r="C34" s="59">
        <v>6</v>
      </c>
      <c r="D34" s="47">
        <v>1256.8900000000001</v>
      </c>
      <c r="E34" s="105"/>
      <c r="F34" s="50">
        <v>791.3</v>
      </c>
      <c r="G34" s="61">
        <v>319.8</v>
      </c>
      <c r="H34" s="65">
        <v>692.54</v>
      </c>
      <c r="I34" s="80">
        <v>15082.68</v>
      </c>
      <c r="J34" s="50">
        <v>775.61</v>
      </c>
      <c r="K34" s="64">
        <v>3133.8199999999997</v>
      </c>
      <c r="L34" s="63">
        <v>9495.5999999999985</v>
      </c>
      <c r="M34" s="64">
        <v>3837.6000000000004</v>
      </c>
      <c r="N34" s="64">
        <v>8310.48</v>
      </c>
      <c r="O34" s="81">
        <v>2024.6799999999998</v>
      </c>
      <c r="P34" s="66">
        <v>41884.859999999993</v>
      </c>
      <c r="Q34" s="82">
        <v>48.38</v>
      </c>
      <c r="R34" s="83">
        <v>29.86</v>
      </c>
    </row>
    <row r="35" spans="1:18" x14ac:dyDescent="0.3">
      <c r="A35" s="1"/>
      <c r="B35" s="58" t="s">
        <v>33</v>
      </c>
      <c r="C35" s="79"/>
      <c r="D35" s="80">
        <v>544.48</v>
      </c>
      <c r="E35" s="60"/>
      <c r="F35" s="64">
        <v>481.33</v>
      </c>
      <c r="G35" s="64">
        <v>0</v>
      </c>
      <c r="H35" s="65">
        <v>0</v>
      </c>
      <c r="I35" s="80">
        <v>6533.76</v>
      </c>
      <c r="J35" s="63">
        <v>335.99</v>
      </c>
      <c r="K35" s="64">
        <v>1634.6399999999999</v>
      </c>
      <c r="L35" s="63">
        <v>5775.96</v>
      </c>
      <c r="M35" s="64">
        <v>0</v>
      </c>
      <c r="N35" s="105">
        <v>0</v>
      </c>
      <c r="O35" s="65">
        <v>0</v>
      </c>
      <c r="P35" s="66">
        <v>13944.36</v>
      </c>
      <c r="Q35" s="66">
        <v>20.96</v>
      </c>
      <c r="R35" s="66">
        <v>12.94</v>
      </c>
    </row>
    <row r="36" spans="1:18" x14ac:dyDescent="0.3">
      <c r="A36" s="1"/>
      <c r="B36" s="73" t="s">
        <v>34</v>
      </c>
      <c r="C36" s="107"/>
      <c r="D36" s="80">
        <v>453.74</v>
      </c>
      <c r="E36" s="60"/>
      <c r="F36" s="64">
        <v>401.11</v>
      </c>
      <c r="G36" s="64">
        <v>0</v>
      </c>
      <c r="H36" s="65">
        <v>0</v>
      </c>
      <c r="I36" s="47">
        <v>5444.88</v>
      </c>
      <c r="J36" s="63">
        <v>280</v>
      </c>
      <c r="K36" s="64">
        <v>1362.22</v>
      </c>
      <c r="L36" s="63">
        <v>4813.32</v>
      </c>
      <c r="M36" s="105">
        <v>0</v>
      </c>
      <c r="N36" s="105">
        <v>0</v>
      </c>
      <c r="O36" s="65">
        <v>0</v>
      </c>
      <c r="P36" s="66">
        <v>11620.42</v>
      </c>
      <c r="Q36" s="66">
        <v>17.47</v>
      </c>
      <c r="R36" s="66">
        <v>10.78</v>
      </c>
    </row>
    <row r="37" spans="1:18" x14ac:dyDescent="0.3">
      <c r="A37" s="1"/>
      <c r="B37" s="73" t="s">
        <v>35</v>
      </c>
      <c r="C37" s="59"/>
      <c r="D37" s="80">
        <v>362.99</v>
      </c>
      <c r="E37" s="60"/>
      <c r="F37" s="64">
        <v>320.89</v>
      </c>
      <c r="G37" s="64">
        <v>0</v>
      </c>
      <c r="H37" s="65">
        <v>0</v>
      </c>
      <c r="I37" s="80">
        <v>4355.88</v>
      </c>
      <c r="J37" s="63">
        <v>224</v>
      </c>
      <c r="K37" s="64">
        <v>1089.78</v>
      </c>
      <c r="L37" s="63">
        <v>3850.68</v>
      </c>
      <c r="M37" s="105">
        <v>0</v>
      </c>
      <c r="N37" s="105">
        <v>0</v>
      </c>
      <c r="O37" s="65">
        <v>0</v>
      </c>
      <c r="P37" s="66">
        <v>9296.34</v>
      </c>
      <c r="Q37" s="66">
        <v>13.97</v>
      </c>
      <c r="R37" s="66">
        <v>8.6199999999999992</v>
      </c>
    </row>
    <row r="38" spans="1:18" ht="15" thickBot="1" x14ac:dyDescent="0.35">
      <c r="A38" s="1"/>
      <c r="B38" s="85" t="s">
        <v>36</v>
      </c>
      <c r="C38" s="108"/>
      <c r="D38" s="87">
        <v>272.24</v>
      </c>
      <c r="E38" s="88"/>
      <c r="F38" s="89">
        <v>240.66</v>
      </c>
      <c r="G38" s="89">
        <v>0</v>
      </c>
      <c r="H38" s="90">
        <v>0</v>
      </c>
      <c r="I38" s="91">
        <v>3266.88</v>
      </c>
      <c r="J38" s="92">
        <v>168</v>
      </c>
      <c r="K38" s="89">
        <v>817.31999999999994</v>
      </c>
      <c r="L38" s="89">
        <v>2887.92</v>
      </c>
      <c r="M38" s="109">
        <v>0</v>
      </c>
      <c r="N38" s="109">
        <v>0</v>
      </c>
      <c r="O38" s="101">
        <v>0</v>
      </c>
      <c r="P38" s="95">
        <v>6972.12</v>
      </c>
      <c r="Q38" s="96">
        <v>10.48</v>
      </c>
      <c r="R38" s="96">
        <v>6.47</v>
      </c>
    </row>
    <row r="39" spans="1:18" x14ac:dyDescent="0.3">
      <c r="A39" s="1"/>
      <c r="B39" s="2"/>
      <c r="C39" s="2" t="s">
        <v>40</v>
      </c>
      <c r="D39" s="3"/>
      <c r="E39" s="2"/>
      <c r="F39" s="3"/>
      <c r="G39" s="3"/>
      <c r="H39" s="3"/>
      <c r="I39" s="117" t="s">
        <v>44</v>
      </c>
      <c r="J39" s="116">
        <v>1304.68</v>
      </c>
      <c r="L39" s="3"/>
      <c r="M39" s="3"/>
      <c r="N39" s="3"/>
      <c r="O39" s="3"/>
      <c r="P39" s="3"/>
      <c r="Q39" s="3"/>
      <c r="R39" s="3"/>
    </row>
    <row r="40" spans="1:18" x14ac:dyDescent="0.3">
      <c r="B40" s="113" t="s">
        <v>41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</row>
    <row r="41" spans="1:18" x14ac:dyDescent="0.3">
      <c r="B41" s="111" t="s">
        <v>42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</row>
  </sheetData>
  <mergeCells count="3">
    <mergeCell ref="B1:R1"/>
    <mergeCell ref="K2:M2"/>
    <mergeCell ref="G4:H4"/>
  </mergeCells>
  <pageMargins left="0.23622047244094491" right="0.23622047244094491" top="0.94488188976377963" bottom="0.35433070866141736" header="0.31496062992125984" footer="0.31496062992125984"/>
  <pageSetup paperSize="9" scale="78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Rodríguez Bedia, María Teresa</dc:creator>
  <cp:lastModifiedBy>Rodríguez Bedia, María Teresa</cp:lastModifiedBy>
  <cp:lastPrinted>2024-02-15T08:32:20Z</cp:lastPrinted>
  <dcterms:created xsi:type="dcterms:W3CDTF">2024-02-06T07:59:07Z</dcterms:created>
  <dcterms:modified xsi:type="dcterms:W3CDTF">2024-02-15T10:30:45Z</dcterms:modified>
</cp:coreProperties>
</file>